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uka and DS-20k" sheetId="1" r:id="rId4"/>
    <sheet state="visible" name="Beam structure in Fluka" sheetId="2" r:id="rId5"/>
    <sheet state="visible" name="Beam structure based on TDR " sheetId="3" r:id="rId6"/>
    <sheet state="visible" name="Sheet5" sheetId="4" r:id="rId7"/>
    <sheet state="visible" name="Sheet2"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M23">
      <text>
        <t xml:space="preserve">The total volume given in Vicente document is 402.88 m^3, while the total volume we calculated from the thickness of each layer and x,y,z, is 414.82 m^3. which is almost ~12 m^3 higher than the one given in Vicente document.
	-Iftikhar Ahmad</t>
      </text>
    </comment>
    <comment authorId="0" ref="AO21">
      <text>
        <t xml:space="preserve">422.29-21.11 m^3 gives the volume of the air. which is 401.18 m^3
	-Iftikhar Ahmad</t>
      </text>
    </comment>
    <comment authorId="0" ref="AN21">
      <text>
        <t xml:space="preserve">approximately 5% of 422.29 (this is the total volume of the outermost layer, it is after the insulating layer. it consist of beams). 5% of 422.29 m^3 is 21.11 m^3.  The 21.11 m^2 is the volume of the steel only
	-Iftikhar Ahmad</t>
      </text>
    </comment>
    <comment authorId="0" ref="X26">
      <text>
        <t xml:space="preserve">Only this value is different from what Vicente sent i.e spreadsheet. So in spread sheet the value is 5400 kg while in the document sent by Vicente previously it has 4285.26kg. so the difference is 1114.74 kg.
	-Iftikhar Ahmad</t>
      </text>
    </comment>
    <comment authorId="0" ref="AE26">
      <text>
        <t xml:space="preserve">Only this value is different from what Vicente sent i.e spreadsheet. So in spread sheet the value is 550kg while in the document sent by Vicente previously it has 348.46 kg.
	-Iftikhar Ahmad</t>
      </text>
    </comment>
    <comment authorId="0" ref="AS22">
      <text>
        <t xml:space="preserve">Dimensions of the outer cryostat
	-Iftikhar Ahmad</t>
      </text>
    </comment>
    <comment authorId="0" ref="P19">
      <text>
        <t xml:space="preserve">This is the total inner volume of the titanium vessel.
	-Iftikhar Ahmad</t>
      </text>
    </comment>
    <comment authorId="0" ref="S38">
      <text>
        <t xml:space="preserve">almost 8300 kg. given in TDR
	-Iftikhar Ahmad</t>
      </text>
    </comment>
    <comment authorId="0" ref="L21">
      <text>
        <t xml:space="preserve">Here we subtract the sensitive volume of the tpc from total volume of the tpc.  to have the volume of the walls only.
	-Iftikhar Ahmad</t>
      </text>
    </comment>
    <comment authorId="0" ref="L19">
      <text>
        <t xml:space="preserve">Here we add the volume of all the panels of the octagon to have the total volume of the TPC
	-Iftikhar Ahmad</t>
      </text>
    </comment>
    <comment authorId="0" ref="L6">
      <text>
        <t xml:space="preserve">Here we see that we already have the thickness included in the total volume of the TPC and then we subtract the sensitive volume (35.63) from the total volume of TPC (46.59), we get 9.94 kg/m^3. which is the volume of the walls of tpc only. In the TDR we cannot do it this way because we already know the thickness of each panel. So we can calculate the volume directly from the dimensions.
	-Iftikhar Ahmad</t>
      </text>
    </comment>
    <comment authorId="0" ref="M21">
      <text>
        <t xml:space="preserve">This the total volume of all the panels. so there are 8 panels. each has the width of 163 cm, height of 365 cm and z=15 cm (This is the thickness of each panel)
	-Iftikhar Ahmad</t>
      </text>
    </comment>
    <comment authorId="0" ref="W5">
      <text>
        <t xml:space="preserve">Carbon steels are those that have carbon as the main alloying element. They also contain up to 0.4% silicon and 1.2% manganese. In addition, the residual elements such as copper, molybdenum, aluminium, chromium and nickel are present in these steels.
The AISI 1030 steel is a high carbon steel, and has moderate strength and hardness in the as-rolled condition. It can be hardened and strengthened by cold work. It also has fair machinability, ductility and good weldability
https://www.azom.com/article.aspx?ArticleID=6531#:~:text=The%20AISI%201030%20steel%20is,about%20AISI%201030%20carbon%20steel.
	-Iftikhar Ahmad</t>
      </text>
    </comment>
    <comment authorId="0" ref="AS21">
      <text>
        <t xml:space="preserve">This value (422.50 m^3) shows the volume of the outer cryostat only. The total volume is 1402.62 m^3. To calculate the volume of the outer cryostat layer only we subtract the the inner insulator layer and LAr bath from the total volume (1402.62 m^3)
	-Iftikhar Ahmad</t>
      </text>
    </comment>
  </commentList>
</comments>
</file>

<file path=xl/sharedStrings.xml><?xml version="1.0" encoding="utf-8"?>
<sst xmlns="http://schemas.openxmlformats.org/spreadsheetml/2006/main" count="3829" uniqueCount="612">
  <si>
    <t>Comparison between Fluka geometry and the Darkside-20k geometry.</t>
  </si>
  <si>
    <t>FLUKA</t>
  </si>
  <si>
    <t>Geometry of the detector</t>
  </si>
  <si>
    <t>TPC</t>
  </si>
  <si>
    <t>Outside of the TPC and inside of titanium vessel</t>
  </si>
  <si>
    <t>titanium vessel</t>
  </si>
  <si>
    <t>Outside the titanium vessel and inside the outer cryostat</t>
  </si>
  <si>
    <t>This is the volume of Hall - LAr Bath. It contains the insulator layer of plywood (inner layer) and the inner cryostate (inner layer. yellow in the TDR , page 93)</t>
  </si>
  <si>
    <t>Outer layer only. (red layer in TDR. page 93)</t>
  </si>
  <si>
    <t>Total volume, thickness, mass of the outer layer only(red layer in TDR page 93)</t>
  </si>
  <si>
    <t>Total volume of the whole cryostate</t>
  </si>
  <si>
    <t>Hall consists of two zones</t>
  </si>
  <si>
    <t>The ROCK (Mountain)</t>
  </si>
  <si>
    <t>Regions and materials</t>
  </si>
  <si>
    <t>x</t>
  </si>
  <si>
    <t>y</t>
  </si>
  <si>
    <t>z</t>
  </si>
  <si>
    <t>Volume from dimensions in Fluka</t>
  </si>
  <si>
    <t>Volume LAr_bath, inner cryostat, outer cryostat</t>
  </si>
  <si>
    <t>Sensvol</t>
  </si>
  <si>
    <t>silicon87 layer up</t>
  </si>
  <si>
    <t>silicon 87 layer tpc bottom</t>
  </si>
  <si>
    <t>TPC wall</t>
  </si>
  <si>
    <t>Thickness of TPC wall</t>
  </si>
  <si>
    <t>TPC top lid</t>
  </si>
  <si>
    <t>TPC bottom lid</t>
  </si>
  <si>
    <t>btw TPC wall and Ti wall (UAr)</t>
  </si>
  <si>
    <t>titanium vessel (copper)</t>
  </si>
  <si>
    <t>titanium vessel top lid</t>
  </si>
  <si>
    <t>titanium vessel bottom lid</t>
  </si>
  <si>
    <t>Lar Bath</t>
  </si>
  <si>
    <t xml:space="preserve">Vaccuum layer after LAr bath </t>
  </si>
  <si>
    <t xml:space="preserve">Insulater layer made of AISI30 material </t>
  </si>
  <si>
    <t>Plywood</t>
  </si>
  <si>
    <t>Polyure</t>
  </si>
  <si>
    <t>plywood</t>
  </si>
  <si>
    <t xml:space="preserve">SecMem layer made of SS304L </t>
  </si>
  <si>
    <t>polyure</t>
  </si>
  <si>
    <t>Insulater layer made of SS304L</t>
  </si>
  <si>
    <t>Total volume of this layer including everything inside. total thickness of this layer. total mass</t>
  </si>
  <si>
    <t>Layer of Air</t>
  </si>
  <si>
    <t xml:space="preserve">zone1 </t>
  </si>
  <si>
    <t>zone2</t>
  </si>
  <si>
    <t>total volume</t>
  </si>
  <si>
    <t>zone 1</t>
  </si>
  <si>
    <t>zone 2</t>
  </si>
  <si>
    <t>this line shows the total volume (including what is inside the volume) [m^3]</t>
  </si>
  <si>
    <t>LAr bath</t>
  </si>
  <si>
    <t>-</t>
  </si>
  <si>
    <t>Dimensions (cm)</t>
  </si>
  <si>
    <t>Inner cryostat</t>
  </si>
  <si>
    <t>h=350, r=180</t>
  </si>
  <si>
    <t>width=5, r=180</t>
  </si>
  <si>
    <t>h=390, r=195</t>
  </si>
  <si>
    <t>15 cm</t>
  </si>
  <si>
    <t>width=15 , r=195</t>
  </si>
  <si>
    <t>width=15, r=195</t>
  </si>
  <si>
    <t>h=450, r=225</t>
  </si>
  <si>
    <t>h=451.8, r=225.8</t>
  </si>
  <si>
    <t>width=0.8 , r= 225</t>
  </si>
  <si>
    <t>width=0.8, r=225</t>
  </si>
  <si>
    <t>x=854,z=788, y=854</t>
  </si>
  <si>
    <t>x=854.56, z=789.76, y=854.56</t>
  </si>
  <si>
    <t>x=854.8, z= 790, y=854.8</t>
  </si>
  <si>
    <t>x=857.2, z=792.4, y=857.2</t>
  </si>
  <si>
    <t>x=932.44, z=867.64, y= 932.44</t>
  </si>
  <si>
    <t>x=934.8, z=870, y=934.8</t>
  </si>
  <si>
    <t>x=934.84, z=870.04, y=934.84</t>
  </si>
  <si>
    <t>x=937.2,z=872.4, y=937.2</t>
  </si>
  <si>
    <t>x=1012.4, z=947.6, y=1012.4</t>
  </si>
  <si>
    <t>x=1014.8, z=950,y=1014.8</t>
  </si>
  <si>
    <t>x=1016.8, z=952, y=1016.8</t>
  </si>
  <si>
    <t>x=1071.6, z=1006.8, y=1071.6</t>
  </si>
  <si>
    <t>x=1140.4,z=1075.6, y=1140.4</t>
  </si>
  <si>
    <t>x=2800, y=2100, z=1100</t>
  </si>
  <si>
    <t>height=2800, radius=1050</t>
  </si>
  <si>
    <t>volume of both halls</t>
  </si>
  <si>
    <t>height=,radius=1275-1050</t>
  </si>
  <si>
    <t>x=3250, y=2550, z=1325</t>
  </si>
  <si>
    <t>Names in Fluka geometry code</t>
  </si>
  <si>
    <t>outer cryostat</t>
  </si>
  <si>
    <t>sensvol</t>
  </si>
  <si>
    <t>sislab1</t>
  </si>
  <si>
    <t>sislab2</t>
  </si>
  <si>
    <t>TPCGDA</t>
  </si>
  <si>
    <t>RPPVETO</t>
  </si>
  <si>
    <t>CUEXT</t>
  </si>
  <si>
    <t>MDEXT</t>
  </si>
  <si>
    <t>Bint_ins</t>
  </si>
  <si>
    <t>Bisw4</t>
  </si>
  <si>
    <t>Bispol2</t>
  </si>
  <si>
    <t>BISW3</t>
  </si>
  <si>
    <t>BISW2</t>
  </si>
  <si>
    <t>secm</t>
  </si>
  <si>
    <t>Bispol1</t>
  </si>
  <si>
    <t>Bisw1</t>
  </si>
  <si>
    <t>Bext_ins</t>
  </si>
  <si>
    <t>Bext_SS</t>
  </si>
  <si>
    <t>BSLV4+ BSLVt1+BSLVt2</t>
  </si>
  <si>
    <t>BexCRIO</t>
  </si>
  <si>
    <t>hall_b (cube)</t>
  </si>
  <si>
    <t xml:space="preserve">hall_t </t>
  </si>
  <si>
    <t>hall_b+hall_t</t>
  </si>
  <si>
    <t>Rock_tf (zone 1)</t>
  </si>
  <si>
    <t>Rock_bf (zone 2)</t>
  </si>
  <si>
    <t>The 6498 should be subtracted from 1398.83 (The volume of the outer cyrostate) to have the total volume of the cube of hall_b. see fluka (search hall_b)</t>
  </si>
  <si>
    <t>(half cylinder so volume is divided by 2) so the total volume is 9698.1 divided by 2 and is equal to 4849.05</t>
  </si>
  <si>
    <t>volume of the total halls</t>
  </si>
  <si>
    <t>This shows the volume of the rock calculated by subtracting the inner and outer radius. so this is just the the volume calculated from the thickness of the rock</t>
  </si>
  <si>
    <t>This shows the total volume of the lower cube of the rock and the zone 1 of hall b  so we subtract the hall b from it</t>
  </si>
  <si>
    <t>It is the total volume, here we subtract the cryostate+ plus the extra square box that we took into account on the side of the cryostate. see zone 1 in the hall. the result is below</t>
  </si>
  <si>
    <t>Thickness of each layer (m)</t>
  </si>
  <si>
    <t>volume m^3</t>
  </si>
  <si>
    <t>density (kg/m^3)</t>
  </si>
  <si>
    <t>mass (kg)</t>
  </si>
  <si>
    <t>mass (ton)</t>
  </si>
  <si>
    <t>Comments</t>
  </si>
  <si>
    <t xml:space="preserve">                                        This data given below was provided by Vicente </t>
  </si>
  <si>
    <t>Roof</t>
  </si>
  <si>
    <t>Total volume of the hall C</t>
  </si>
  <si>
    <t>DARKSIDE-20k TDR</t>
  </si>
  <si>
    <t>Volume from the dimesions from TDR</t>
  </si>
  <si>
    <t>Volume LAr_bath, inner cryostat (insulator layer), outer cryostat (m^3)</t>
  </si>
  <si>
    <t xml:space="preserve">insulation (PU foam (57m^3) </t>
  </si>
  <si>
    <t>stainless steel (0.3 m^3)</t>
  </si>
  <si>
    <t>stainless steel</t>
  </si>
  <si>
    <t>Air</t>
  </si>
  <si>
    <t>thickness of the outer cryostat layer (steel beams +air)</t>
  </si>
  <si>
    <t>Total volume of this layer plus the previous layers, Thickness of all the layers</t>
  </si>
  <si>
    <t>Material</t>
  </si>
  <si>
    <t>Contains UAr</t>
  </si>
  <si>
    <t>Gd-PMMA layer (anode)</t>
  </si>
  <si>
    <t>Gd-PMMA layer (cathode)</t>
  </si>
  <si>
    <t>GD PMMA wall</t>
  </si>
  <si>
    <t>Thickness of the panel</t>
  </si>
  <si>
    <t>contains UAr</t>
  </si>
  <si>
    <t>Titanium</t>
  </si>
  <si>
    <t xml:space="preserve">primary membrane stain less steel (SS304L) </t>
  </si>
  <si>
    <t>reinforced pu foam</t>
  </si>
  <si>
    <t>secondary membrane-rigid</t>
  </si>
  <si>
    <t xml:space="preserve">Secondary membrane-flexible </t>
  </si>
  <si>
    <t>total volume of this layer. Total thickness, total mass</t>
  </si>
  <si>
    <t>Total volume m^3</t>
  </si>
  <si>
    <t>32400 (m^3)</t>
  </si>
  <si>
    <t>Thickness (m)</t>
  </si>
  <si>
    <t>This thickness is missing</t>
  </si>
  <si>
    <t>volume Given by Vicente document</t>
  </si>
  <si>
    <t>height=348, radius=175</t>
  </si>
  <si>
    <t>width=15, radius=175</t>
  </si>
  <si>
    <t xml:space="preserve">x=163, y=365, z=15 </t>
  </si>
  <si>
    <t>The R is increased by 10 cm. because UAr layer is increased by 10 cm from 30 cm. so r=235, h=450</t>
  </si>
  <si>
    <t>x=854.8,z=790,y=854.8</t>
  </si>
  <si>
    <t>x=1141,y=1141,z= 1076</t>
  </si>
  <si>
    <t>length=100, width=18 , height=18 (meters)</t>
  </si>
  <si>
    <t>Volume calculated from the dimensions</t>
  </si>
  <si>
    <t>Mass (provide in Vicente document)</t>
  </si>
  <si>
    <t>MAss (given in the spreadsheet provided by Vicente)</t>
  </si>
  <si>
    <t>it should be 1400 m^3 but we get 914.252 m^3</t>
  </si>
  <si>
    <t>what we find from calculation (kg)</t>
  </si>
  <si>
    <t>Expected mass</t>
  </si>
  <si>
    <t>The mass that we get from density and volume is not the same as shown in the TDR . The calculation gives 46872 which is ~3000 kg less</t>
  </si>
  <si>
    <t>The mass that we get from density and volume is not the same as shown in the TDR . The calculation gives 42.476 tons which is 10 tons higher</t>
  </si>
  <si>
    <r>
      <rPr>
        <color rgb="FF1155CC"/>
        <u/>
      </rPr>
      <t>Link</t>
    </r>
    <r>
      <rPr>
        <color rgb="FF000000"/>
        <u/>
      </rPr>
      <t xml:space="preserve"> (Maybe changed to 9300)</t>
    </r>
  </si>
  <si>
    <t xml:space="preserve">The mass that we get from density and volume is not the same as shown in the TDR . The calculation gives 696134 which is 3850 kg less </t>
  </si>
  <si>
    <t>Here we see that the total volume of all the layers from Vincente document is 337.03 m^3 except the stainless steel membrane + we add the volume of the roof given in Vicente's document (57.3 m^3), which gives the total volume to be 394.313 m^3. While in Fluka the total volume of all the layers of the inner cryostat without the stainless steel is 403.62 m^3.  So it is 9.307 m^3 less than Fluka model. The thickness of the fluka model inner cryostat layer is almost the same as the TDR. Only some material are different</t>
  </si>
  <si>
    <t>What Fluka should be based on TDR</t>
  </si>
  <si>
    <t>UAr</t>
  </si>
  <si>
    <t>Gd PMMA</t>
  </si>
  <si>
    <t>titanium</t>
  </si>
  <si>
    <t>AAr</t>
  </si>
  <si>
    <t>vol of sensvol</t>
  </si>
  <si>
    <t>Gd PMMA- top</t>
  </si>
  <si>
    <t>Gd PMMA-bottom</t>
  </si>
  <si>
    <t>vol of tpc wall</t>
  </si>
  <si>
    <t>vol of TPC top lid</t>
  </si>
  <si>
    <t>vol of TPC bottom lid</t>
  </si>
  <si>
    <t>vol of UAr</t>
  </si>
  <si>
    <t>vol of titanium vessel</t>
  </si>
  <si>
    <t>lids of titanium vessel</t>
  </si>
  <si>
    <t>total mass of the vessel</t>
  </si>
  <si>
    <t>vol of the Lar_bath</t>
  </si>
  <si>
    <t>Dimensions should be (cm)</t>
  </si>
  <si>
    <t>h=348, r=175</t>
  </si>
  <si>
    <t>h=390, r=188.2</t>
  </si>
  <si>
    <t>h=450, r=235</t>
  </si>
  <si>
    <t>h=451.8, r=236.21</t>
  </si>
  <si>
    <t>x=854.8,z=790, y=854.8</t>
  </si>
  <si>
    <t>Expected mass (tons)</t>
  </si>
  <si>
    <t>The weights of sensitive volume, neutron veto, and the LarBath are not the same as TDR so we change the dimension to have the same weights</t>
  </si>
  <si>
    <t>Outer volume of titanium vessel</t>
  </si>
  <si>
    <t>Surface area</t>
  </si>
  <si>
    <t>Thickness = Surface / Volume</t>
  </si>
  <si>
    <t>Roof polyure</t>
  </si>
  <si>
    <t>Mass of all the layers (tons)</t>
  </si>
  <si>
    <t>thickness of both layers (steel+air)</t>
  </si>
  <si>
    <t>What Fluka should be based on the mass of sensitive volume</t>
  </si>
  <si>
    <t>Sensitive volume</t>
  </si>
  <si>
    <t>Vol of the TPC</t>
  </si>
  <si>
    <t>volume of gas pocket</t>
  </si>
  <si>
    <t>Volume inside Titanium vessel</t>
  </si>
  <si>
    <t>thickness (Vicente)</t>
  </si>
  <si>
    <t>Dimension should be (cm)</t>
  </si>
  <si>
    <t>h=348, r=182.72</t>
  </si>
  <si>
    <t>h=15, r=182.72</t>
  </si>
  <si>
    <t>h=378, r=199.72</t>
  </si>
  <si>
    <t>width=15 , r=199.72</t>
  </si>
  <si>
    <t>h=445.7, r=239.03</t>
  </si>
  <si>
    <t>h=449.1, r=240.73</t>
  </si>
  <si>
    <t>x=857.605,z=790, y=857.605</t>
  </si>
  <si>
    <t>Dimensions</t>
  </si>
  <si>
    <t>x=857.93, y=80, z=790.24</t>
  </si>
  <si>
    <t>x=857.93, y=938.04, z=790.24</t>
  </si>
  <si>
    <t>x=860.33, y=939.24, z=792.64</t>
  </si>
  <si>
    <t>x=933.53, y=975.84, z=865.84</t>
  </si>
  <si>
    <t>x=935.93, y=977.04, z=868.24</t>
  </si>
  <si>
    <t>x=938.33, y=978.24, z=870.64</t>
  </si>
  <si>
    <t>x=955.93, y=987.04, z=888.24</t>
  </si>
  <si>
    <t>x=956.05, y=987.1, z=888.36</t>
  </si>
  <si>
    <t>x=1014.25, y=1016.2, z=946.56</t>
  </si>
  <si>
    <t>x=1016.05, y=1017.1, z=948.36</t>
  </si>
  <si>
    <t>x=1018.05, y=1019.1, z=950.36</t>
  </si>
  <si>
    <t>volume (m^3)</t>
  </si>
  <si>
    <t xml:space="preserve">Density </t>
  </si>
  <si>
    <t>mass (tons)</t>
  </si>
  <si>
    <t>Mass calculated</t>
  </si>
  <si>
    <t>Volume in cm^3</t>
  </si>
  <si>
    <t>Volume in m^3</t>
  </si>
  <si>
    <t>Volume of each component</t>
  </si>
  <si>
    <t>Density of each component</t>
  </si>
  <si>
    <t>Mass (kg)</t>
  </si>
  <si>
    <t>Mass (tons)</t>
  </si>
  <si>
    <t>INSULATOR STEEL</t>
  </si>
  <si>
    <t>The volume and mass of the beams and bars is given below from fluka model (only the big beams and bars because the small ones are removed)</t>
  </si>
  <si>
    <t>PU</t>
  </si>
  <si>
    <t>beams top+beams bottom</t>
  </si>
  <si>
    <t>Volume (m^3)</t>
  </si>
  <si>
    <t>bars between the beams</t>
  </si>
  <si>
    <t>volume of the bars (m^3)</t>
  </si>
  <si>
    <t>total volume (m^3)</t>
  </si>
  <si>
    <t>Al+fiber</t>
  </si>
  <si>
    <t>Total mass (tons)</t>
  </si>
  <si>
    <t>Steel</t>
  </si>
  <si>
    <t>LAr Bath</t>
  </si>
  <si>
    <t>The volume and mass of the beams and bars is given below from the TDR and Vicente document (only the big beams and bars because the small ones are removed)</t>
  </si>
  <si>
    <t>changing lAr bath to have more steel</t>
  </si>
  <si>
    <t>Vol of lar bath</t>
  </si>
  <si>
    <t>outer steel layer</t>
  </si>
  <si>
    <t>bext_ins</t>
  </si>
  <si>
    <t>bisw1</t>
  </si>
  <si>
    <t>bispol1</t>
  </si>
  <si>
    <t>bisw2</t>
  </si>
  <si>
    <t>bisw3</t>
  </si>
  <si>
    <t>volume we get from mass</t>
  </si>
  <si>
    <t>bispol2</t>
  </si>
  <si>
    <t>Thickness of Ti vessel</t>
  </si>
  <si>
    <t>bint_ins</t>
  </si>
  <si>
    <t>lar bath</t>
  </si>
  <si>
    <t>top of the beam</t>
  </si>
  <si>
    <t>rib of the beam</t>
  </si>
  <si>
    <t>bottom of the beam</t>
  </si>
  <si>
    <t>4 sides</t>
  </si>
  <si>
    <t>big steel membrane</t>
  </si>
  <si>
    <t>volume of beam</t>
  </si>
  <si>
    <t>top</t>
  </si>
  <si>
    <t>back of top</t>
  </si>
  <si>
    <t xml:space="preserve">the back </t>
  </si>
  <si>
    <t>1 top</t>
  </si>
  <si>
    <t xml:space="preserve">2 top </t>
  </si>
  <si>
    <t>DARKSIDE-20k</t>
  </si>
  <si>
    <t>Volume of the whole detector</t>
  </si>
  <si>
    <t>Volume of the outer layer only</t>
  </si>
  <si>
    <t>total Volume of the whole detector - total volume inside the outer layer</t>
  </si>
  <si>
    <t>volume inside of the outer cryostate wall</t>
  </si>
  <si>
    <t>Volume of the inner layer only</t>
  </si>
  <si>
    <t>Total volume of the outer layer - total volume inside the inner layer</t>
  </si>
  <si>
    <t>volume of the inner Cryostat only (until the end of Lar bath) (m^3)</t>
  </si>
  <si>
    <t>Volume of the lar bath</t>
  </si>
  <si>
    <t>Only the bottom</t>
  </si>
  <si>
    <t>thickness</t>
  </si>
  <si>
    <t>x(m)</t>
  </si>
  <si>
    <t>y(m)</t>
  </si>
  <si>
    <t>Volume</t>
  </si>
  <si>
    <t>Sum of all the thicknesses</t>
  </si>
  <si>
    <t>side layers (4 sides)</t>
  </si>
  <si>
    <t>y(m) or x(m)</t>
  </si>
  <si>
    <t>z(m)</t>
  </si>
  <si>
    <t>volume of one side</t>
  </si>
  <si>
    <t>Volume of 5 sides</t>
  </si>
  <si>
    <t>Adding bottom and sides together</t>
  </si>
  <si>
    <t>Top layer only</t>
  </si>
  <si>
    <t>volume of the roof</t>
  </si>
  <si>
    <t>Total volume of the insulating layer</t>
  </si>
  <si>
    <t>volume of the sides and bottom</t>
  </si>
  <si>
    <t>Total mass side walls, bottom layer and top layer</t>
  </si>
  <si>
    <t>Total</t>
  </si>
  <si>
    <t>This data is taken from Vicente document</t>
  </si>
  <si>
    <t>1 layer (plywood)</t>
  </si>
  <si>
    <t>2 layer (reinforced pu foam)</t>
  </si>
  <si>
    <t>3 layer (plywood)</t>
  </si>
  <si>
    <t>4 layer (plywood)</t>
  </si>
  <si>
    <t>5th layer (reinforced pu foam)</t>
  </si>
  <si>
    <t>6th layer (secondary membrane-rigid)</t>
  </si>
  <si>
    <t>6 layer(Secondary membrane-flexible )</t>
  </si>
  <si>
    <t>7 layer (reinforced pu foam)</t>
  </si>
  <si>
    <t>8 layer (Plywood)</t>
  </si>
  <si>
    <t>Thickness provided in Vicente Document</t>
  </si>
  <si>
    <t>Density provide by Vicente</t>
  </si>
  <si>
    <t>Volume calculated from thickness, x,y,z</t>
  </si>
  <si>
    <t>Mass (calculated from the volume and density)</t>
  </si>
  <si>
    <t>x,y=</t>
  </si>
  <si>
    <t>x,y=8.5793, z=7.9024</t>
  </si>
  <si>
    <t>x,y= 8.6033 , z=7.9264</t>
  </si>
  <si>
    <t>x,y= 9.3353, z=8.6584</t>
  </si>
  <si>
    <t>x,y=9.3593, z=8.6824</t>
  </si>
  <si>
    <t>x,y=9.3833, z=8.7064</t>
  </si>
  <si>
    <t>x,y=9.5593, z=8.8824</t>
  </si>
  <si>
    <t>x,y=9.5605, z=8.8836</t>
  </si>
  <si>
    <t>x,y=10.1425, z=9.4656</t>
  </si>
  <si>
    <t>x,y=10.1605, z=9.4836</t>
  </si>
  <si>
    <t>x=1014.8,z=950,y=1014.8</t>
  </si>
  <si>
    <t>x=1013.29, z=948.2,y=1013.29</t>
  </si>
  <si>
    <t>x=955.09, z=890.y=955.09</t>
  </si>
  <si>
    <t>x=954.97,z=889.88, y=954.97</t>
  </si>
  <si>
    <t>x=937.37, z=872.28, y=937.37</t>
  </si>
  <si>
    <t>x=934.97, z=869.88, y=934.97</t>
  </si>
  <si>
    <t>x=932.57,z=867.48,y=932.57</t>
  </si>
  <si>
    <t>x=859.37, z=794.28,y=859.37</t>
  </si>
  <si>
    <t>x=856.97, z=791.88, y=856.97</t>
  </si>
  <si>
    <t>Total vol (m^3)</t>
  </si>
  <si>
    <t>total vol of beams</t>
  </si>
  <si>
    <t>FLUKA NAME</t>
  </si>
  <si>
    <t>z -axis (+)</t>
  </si>
  <si>
    <t>Beam only</t>
  </si>
  <si>
    <t>x-</t>
  </si>
  <si>
    <t>x+</t>
  </si>
  <si>
    <t>x total</t>
  </si>
  <si>
    <t>y-</t>
  </si>
  <si>
    <t>y+</t>
  </si>
  <si>
    <t>y total</t>
  </si>
  <si>
    <t>z-</t>
  </si>
  <si>
    <t>z+</t>
  </si>
  <si>
    <t>z total</t>
  </si>
  <si>
    <t>Density (kg/m^3)</t>
  </si>
  <si>
    <t>BBCH6</t>
  </si>
  <si>
    <t>-BBCV1 -BBCV2 -BBCV3 -BBCV4 -BBCV5 -BBCV6</t>
  </si>
  <si>
    <t>BBCV6</t>
  </si>
  <si>
    <t>BBCH5</t>
  </si>
  <si>
    <t>BBCV5</t>
  </si>
  <si>
    <t>BBCH4</t>
  </si>
  <si>
    <t>BBCV4</t>
  </si>
  <si>
    <t>BBCH3</t>
  </si>
  <si>
    <t>BBCV3</t>
  </si>
  <si>
    <t>BBCH2</t>
  </si>
  <si>
    <t>BBCV2</t>
  </si>
  <si>
    <t>BBCH1</t>
  </si>
  <si>
    <t>BBCV1</t>
  </si>
  <si>
    <t xml:space="preserve"> (mass in tons)</t>
  </si>
  <si>
    <t>z-axis (-)</t>
  </si>
  <si>
    <t>BFH6</t>
  </si>
  <si>
    <t>-BFRV1 -BFRV2 -BFRV3 -BFRV4 -BFRV5 -BFRV6</t>
  </si>
  <si>
    <t>BFRV6</t>
  </si>
  <si>
    <t>BFH5</t>
  </si>
  <si>
    <t>BFRV5</t>
  </si>
  <si>
    <t>BFH4</t>
  </si>
  <si>
    <t>BFRV4</t>
  </si>
  <si>
    <t>BFH3</t>
  </si>
  <si>
    <t>BFRV3</t>
  </si>
  <si>
    <t>BFH2</t>
  </si>
  <si>
    <t>BFRV2</t>
  </si>
  <si>
    <t>BFH1</t>
  </si>
  <si>
    <t>BFRV1</t>
  </si>
  <si>
    <t>In tons</t>
  </si>
  <si>
    <t>Y- axis (+)</t>
  </si>
  <si>
    <t>BCETr6</t>
  </si>
  <si>
    <t>BCEL6</t>
  </si>
  <si>
    <t>-BCETR1 -BCETR2 -BCETR3 -BCETR4 -BCETR5 -BCETR6</t>
  </si>
  <si>
    <t>BCETr5</t>
  </si>
  <si>
    <t>BCEL5</t>
  </si>
  <si>
    <t>BCETr4</t>
  </si>
  <si>
    <t>BCEL4</t>
  </si>
  <si>
    <t>BCETr3</t>
  </si>
  <si>
    <t>BCEL3</t>
  </si>
  <si>
    <t>BCETr2</t>
  </si>
  <si>
    <t>BCEL2</t>
  </si>
  <si>
    <t>BCETr1</t>
  </si>
  <si>
    <t>BCEL1</t>
  </si>
  <si>
    <t>y- axis (-)</t>
  </si>
  <si>
    <t>BFLTr6</t>
  </si>
  <si>
    <t>BFLL6</t>
  </si>
  <si>
    <t>-BFLTR1 -BFLTR2 -BFLTR3 -BFLTR4 -BFLTR5 -BFLTR6</t>
  </si>
  <si>
    <t>BFLTr5</t>
  </si>
  <si>
    <t>BFLL5</t>
  </si>
  <si>
    <t>BFLTr4</t>
  </si>
  <si>
    <t>BFLL4</t>
  </si>
  <si>
    <t>BFLTr3</t>
  </si>
  <si>
    <t>BFLL3</t>
  </si>
  <si>
    <t>BFLTr2</t>
  </si>
  <si>
    <t>BFLL2</t>
  </si>
  <si>
    <t>BFLTr1</t>
  </si>
  <si>
    <t>BFLL1</t>
  </si>
  <si>
    <t>x- axis (+)</t>
  </si>
  <si>
    <t>vertical</t>
  </si>
  <si>
    <t>horizontal</t>
  </si>
  <si>
    <t>BLEV6</t>
  </si>
  <si>
    <t>BLEH6</t>
  </si>
  <si>
    <t>-BLEV1 -BLEV2 -BLEV3 -BLEV4 -BLEV5 -BLEV6</t>
  </si>
  <si>
    <t>BLEV5</t>
  </si>
  <si>
    <t>BLEH5</t>
  </si>
  <si>
    <t>BLEV4</t>
  </si>
  <si>
    <t>BLEH4</t>
  </si>
  <si>
    <t>BLEV3</t>
  </si>
  <si>
    <t>BLEH3</t>
  </si>
  <si>
    <t>BLEV2</t>
  </si>
  <si>
    <t>BLEH2</t>
  </si>
  <si>
    <t>BLEV1</t>
  </si>
  <si>
    <t>BLEH1</t>
  </si>
  <si>
    <t>x- axis (-)</t>
  </si>
  <si>
    <t>BRIV6</t>
  </si>
  <si>
    <t>BRIH6</t>
  </si>
  <si>
    <t>-BRIV1 -BRIV2 -BRIV3 -BRIV4 -BRIV5 -BRIV6</t>
  </si>
  <si>
    <t>BRIV5</t>
  </si>
  <si>
    <t>BRIH5</t>
  </si>
  <si>
    <t>BRIV4</t>
  </si>
  <si>
    <t>BRIH4</t>
  </si>
  <si>
    <t>BRIV3</t>
  </si>
  <si>
    <t>BRIH3</t>
  </si>
  <si>
    <t>BRIV2</t>
  </si>
  <si>
    <t>BRIH2</t>
  </si>
  <si>
    <t>BRIV1</t>
  </si>
  <si>
    <t>BRIH1</t>
  </si>
  <si>
    <t>Top of beam</t>
  </si>
  <si>
    <t>top of beam</t>
  </si>
  <si>
    <t>BCH6t2</t>
  </si>
  <si>
    <t>-BCV1T2 -BCV2T2 -BCV3T2 -BCV4T2 -BCV5T2 -BCV6T2</t>
  </si>
  <si>
    <t>BCV6t2</t>
  </si>
  <si>
    <t>BCH5t2</t>
  </si>
  <si>
    <t>BCV5t2</t>
  </si>
  <si>
    <t>BCH4t2</t>
  </si>
  <si>
    <t>BCV4t2</t>
  </si>
  <si>
    <t>BCH3t2</t>
  </si>
  <si>
    <t>BCV3t2</t>
  </si>
  <si>
    <t>BCH2t2</t>
  </si>
  <si>
    <t>BCV2t2</t>
  </si>
  <si>
    <t>BCH1t2</t>
  </si>
  <si>
    <t>BCV1t2</t>
  </si>
  <si>
    <t>BHF6T2</t>
  </si>
  <si>
    <t>-BFV1t2 -BFV2t2 -BFV3t2 -BFV4t2 -BFV5t2 -BFV6t2</t>
  </si>
  <si>
    <t>BFV6t2</t>
  </si>
  <si>
    <t>BHF5T2</t>
  </si>
  <si>
    <t>BFV5t2</t>
  </si>
  <si>
    <t>BHF4T2</t>
  </si>
  <si>
    <t>BFV4t2</t>
  </si>
  <si>
    <t>BHF3T2</t>
  </si>
  <si>
    <t>BFV3t2</t>
  </si>
  <si>
    <t>BHF2T2</t>
  </si>
  <si>
    <t>BFV2t2</t>
  </si>
  <si>
    <t>BHF1T2</t>
  </si>
  <si>
    <t>BFV1t2</t>
  </si>
  <si>
    <t>BCTr6t2</t>
  </si>
  <si>
    <t>BCEL6t2</t>
  </si>
  <si>
    <t>BCTr5t2</t>
  </si>
  <si>
    <t>BCEL5t2</t>
  </si>
  <si>
    <t>BCTr4t2</t>
  </si>
  <si>
    <t>BCEL4t2</t>
  </si>
  <si>
    <t>BCTr3t2</t>
  </si>
  <si>
    <t>BCEL3t2</t>
  </si>
  <si>
    <t>BCTr2t2</t>
  </si>
  <si>
    <t>BCEL2t2</t>
  </si>
  <si>
    <t>BCTr1t2</t>
  </si>
  <si>
    <t>BCEL1t2</t>
  </si>
  <si>
    <t>BFLTr6t2</t>
  </si>
  <si>
    <t>BFLL6t2</t>
  </si>
  <si>
    <t>BFLTr5t2</t>
  </si>
  <si>
    <t>BFLL5t2</t>
  </si>
  <si>
    <t>BFLTr4t2</t>
  </si>
  <si>
    <t>BFLL4t2</t>
  </si>
  <si>
    <t>BFLTr3t2</t>
  </si>
  <si>
    <t>BFLL3t2</t>
  </si>
  <si>
    <t>BFLTr2t2</t>
  </si>
  <si>
    <t>BFLL2t2</t>
  </si>
  <si>
    <t>BFLTr1t2</t>
  </si>
  <si>
    <t>BFLL1t2</t>
  </si>
  <si>
    <t>BLEV6t2</t>
  </si>
  <si>
    <t>BLEH6t2</t>
  </si>
  <si>
    <t>BLEV5t2</t>
  </si>
  <si>
    <t>BLEH5t2</t>
  </si>
  <si>
    <t>BLEV4t2</t>
  </si>
  <si>
    <t>BLEH4t2</t>
  </si>
  <si>
    <t>BLEV3t2</t>
  </si>
  <si>
    <t>BLEH3t2</t>
  </si>
  <si>
    <t>BLEV2t2</t>
  </si>
  <si>
    <t>BLEH2t2</t>
  </si>
  <si>
    <t>BLEV1t2</t>
  </si>
  <si>
    <t>BLEH1t2</t>
  </si>
  <si>
    <t>BRIV6t2</t>
  </si>
  <si>
    <t>BRIH6t2</t>
  </si>
  <si>
    <t>BRIV5t2</t>
  </si>
  <si>
    <t>BRIH5t2</t>
  </si>
  <si>
    <t>BRIV4t2</t>
  </si>
  <si>
    <t>BRIH4t2</t>
  </si>
  <si>
    <t>BRIV3t2</t>
  </si>
  <si>
    <t>BRIH3t2</t>
  </si>
  <si>
    <t>BRIV2t2</t>
  </si>
  <si>
    <t>BRIH2t2</t>
  </si>
  <si>
    <t>BRIVt2</t>
  </si>
  <si>
    <t>BRIH1t2</t>
  </si>
  <si>
    <t>bottom of beam</t>
  </si>
  <si>
    <t>BCH6t1</t>
  </si>
  <si>
    <t>BCV6t1</t>
  </si>
  <si>
    <t>BCH5t1</t>
  </si>
  <si>
    <t>BCV5t1</t>
  </si>
  <si>
    <t>BCH4t1</t>
  </si>
  <si>
    <t>BCV4t1</t>
  </si>
  <si>
    <t>BCH3t1</t>
  </si>
  <si>
    <t>BCV3t1</t>
  </si>
  <si>
    <t>BCH2t1</t>
  </si>
  <si>
    <t>BCV2t1</t>
  </si>
  <si>
    <t>BCH1t1</t>
  </si>
  <si>
    <t>BCV1t1</t>
  </si>
  <si>
    <t>BHF6T1</t>
  </si>
  <si>
    <t>BFV6t1</t>
  </si>
  <si>
    <t>BHF5T1</t>
  </si>
  <si>
    <t>BFV5t1</t>
  </si>
  <si>
    <t>BHF4T1</t>
  </si>
  <si>
    <t>BFV4t1</t>
  </si>
  <si>
    <t>BHF3T1</t>
  </si>
  <si>
    <t>BFV3t1</t>
  </si>
  <si>
    <t>BHF2T1</t>
  </si>
  <si>
    <t>BFV2t1</t>
  </si>
  <si>
    <t>BHF1T1</t>
  </si>
  <si>
    <t>BFV1t1</t>
  </si>
  <si>
    <t>BCETr6t1</t>
  </si>
  <si>
    <t>BCEL6t1</t>
  </si>
  <si>
    <t>BCETr5t1</t>
  </si>
  <si>
    <t>BCEL5t1</t>
  </si>
  <si>
    <t>BCETr4t1</t>
  </si>
  <si>
    <t>BCEL4t1</t>
  </si>
  <si>
    <t>BCETr3t1</t>
  </si>
  <si>
    <t>BCEL3t1</t>
  </si>
  <si>
    <t>BCETr2t1</t>
  </si>
  <si>
    <t>BCEL2t1</t>
  </si>
  <si>
    <t>BCETr1t1</t>
  </si>
  <si>
    <t>BCEL1t1</t>
  </si>
  <si>
    <t>BFLTr6t1</t>
  </si>
  <si>
    <t>BFLL6t1</t>
  </si>
  <si>
    <t>BFLTr5t1</t>
  </si>
  <si>
    <t>BFLL5t1</t>
  </si>
  <si>
    <t>BFLTr4t1</t>
  </si>
  <si>
    <t>BFLL4t1</t>
  </si>
  <si>
    <t>BFLTr3t1</t>
  </si>
  <si>
    <t>BFLL3t1</t>
  </si>
  <si>
    <t>BFLTr2t1</t>
  </si>
  <si>
    <t>BFLL2t1</t>
  </si>
  <si>
    <t>BFLTr1t1</t>
  </si>
  <si>
    <t>BFLL1t1</t>
  </si>
  <si>
    <t>BLEV6t1</t>
  </si>
  <si>
    <t>BLEH6t1</t>
  </si>
  <si>
    <t>BLEV5t1</t>
  </si>
  <si>
    <t>BLEH5t1</t>
  </si>
  <si>
    <t>BLEV4t1</t>
  </si>
  <si>
    <t>BLEH4t1</t>
  </si>
  <si>
    <t>BLEV3t1</t>
  </si>
  <si>
    <t>BLEH3t1</t>
  </si>
  <si>
    <t>BLEV2t1</t>
  </si>
  <si>
    <t>BLEH2t1</t>
  </si>
  <si>
    <t>BLEV1t1</t>
  </si>
  <si>
    <t>BLEH1t1</t>
  </si>
  <si>
    <t>BRIV6t1</t>
  </si>
  <si>
    <t>BRIH6t1</t>
  </si>
  <si>
    <t>BRIV5t1</t>
  </si>
  <si>
    <t>BRIH5t1</t>
  </si>
  <si>
    <t>BRIV4t1</t>
  </si>
  <si>
    <t>BRIH4t1</t>
  </si>
  <si>
    <t>BRIV3t1</t>
  </si>
  <si>
    <t>BRIH3t1</t>
  </si>
  <si>
    <t>BRIV2t1</t>
  </si>
  <si>
    <t>BRIH2t1</t>
  </si>
  <si>
    <t>BRIV1t1</t>
  </si>
  <si>
    <t>BRIH1t1</t>
  </si>
  <si>
    <t>Mass of the top of beam</t>
  </si>
  <si>
    <t>Total mass</t>
  </si>
  <si>
    <t>Mass of the bottom of beam</t>
  </si>
  <si>
    <t>Mass of the beam only</t>
  </si>
  <si>
    <t>Volume of the beam only</t>
  </si>
  <si>
    <t>Total vol</t>
  </si>
  <si>
    <t>Volume of the top of the beam</t>
  </si>
  <si>
    <t>Volume of the bottom of the beam</t>
  </si>
  <si>
    <t>BRIV1t2</t>
  </si>
  <si>
    <t>BCTr6t1</t>
  </si>
  <si>
    <t>BCTr5t1</t>
  </si>
  <si>
    <t>BCTr4t1</t>
  </si>
  <si>
    <t>BCTr3t1</t>
  </si>
  <si>
    <t>BCTr2t1</t>
  </si>
  <si>
    <t>BCTr1t1</t>
  </si>
  <si>
    <t>Checking new fluka volumes and mass</t>
  </si>
  <si>
    <t>X</t>
  </si>
  <si>
    <t>Y</t>
  </si>
  <si>
    <t>Z</t>
  </si>
  <si>
    <t>R=182.72, H=348</t>
  </si>
  <si>
    <t>R=182.72, H=15</t>
  </si>
  <si>
    <t>R=199.72, H=408.7</t>
  </si>
  <si>
    <t>R=182.72, H=0.7</t>
  </si>
  <si>
    <t>x,y=1017.05, z=949.36</t>
  </si>
  <si>
    <t>Thickness (mm)</t>
  </si>
  <si>
    <t>thickness (cm)</t>
  </si>
  <si>
    <t>PRIMARY STEEL</t>
  </si>
  <si>
    <t>Roof of PU</t>
  </si>
  <si>
    <t>PLYWOOD</t>
  </si>
  <si>
    <t>AL+FIBER</t>
  </si>
  <si>
    <t>Total volume (m^3)</t>
  </si>
  <si>
    <t>leh</t>
  </si>
  <si>
    <t>Volume of each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</si>
</sst>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E+0"/>
  </numFmts>
  <fonts count="46">
    <font>
      <sz val="10.0"/>
      <color rgb="FF000000"/>
      <name val="Arial"/>
      <scheme val="minor"/>
    </font>
    <font>
      <color theme="1"/>
      <name val="Arial"/>
      <scheme val="minor"/>
    </font>
    <font>
      <sz val="18.0"/>
      <color rgb="FF1155CC"/>
      <name val="Arial"/>
      <scheme val="minor"/>
    </font>
    <font>
      <sz val="18.0"/>
      <color rgb="FF1155CC"/>
      <name val="Arial"/>
    </font>
    <font>
      <b/>
      <color rgb="FF0000FF"/>
      <name val="Arial"/>
      <scheme val="minor"/>
    </font>
    <font>
      <b/>
      <sz val="14.0"/>
      <color rgb="FF0000FF"/>
      <name val="Arial"/>
      <scheme val="minor"/>
    </font>
    <font/>
    <font>
      <color rgb="FF000000"/>
      <name val="Arial"/>
    </font>
    <font>
      <sz val="11.0"/>
      <color rgb="FF000000"/>
      <name val="Inconsolata"/>
    </font>
    <font>
      <sz val="11.0"/>
      <color rgb="FF1155CC"/>
      <name val="Inconsolata"/>
    </font>
    <font>
      <sz val="11.0"/>
      <color rgb="FF333333"/>
      <name val="&quot;Helvetica Neue&quot;"/>
    </font>
    <font>
      <color rgb="FF000000"/>
      <name val="Arial"/>
      <scheme val="minor"/>
    </font>
    <font>
      <u/>
      <color rgb="FF1155CC"/>
      <name val="Arial"/>
      <scheme val="minor"/>
    </font>
    <font>
      <u/>
      <color rgb="FF1155CC"/>
      <name val="Arial"/>
      <scheme val="minor"/>
    </font>
    <font>
      <u/>
      <color rgb="FF1155CC"/>
    </font>
    <font>
      <u/>
      <color rgb="FF1155CC"/>
      <name val="Arial"/>
      <scheme val="minor"/>
    </font>
    <font>
      <u/>
      <color rgb="FF1155CC"/>
      <name val="Arial"/>
      <scheme val="minor"/>
    </font>
    <font>
      <sz val="9.0"/>
      <color rgb="FF000000"/>
      <name val="Arial"/>
    </font>
    <font>
      <sz val="11.0"/>
      <color theme="1"/>
      <name val="Inconsolata"/>
    </font>
    <font>
      <sz val="12.0"/>
      <color theme="1"/>
      <name val="Calibri"/>
    </font>
    <font>
      <sz val="11.0"/>
      <color theme="1"/>
      <name val="Arial"/>
      <scheme val="minor"/>
    </font>
    <font>
      <sz val="11.0"/>
      <color rgb="FF202124"/>
      <name val="Arial"/>
      <scheme val="minor"/>
    </font>
    <font>
      <sz val="10.0"/>
      <color rgb="FF202124"/>
      <name val="Arial"/>
      <scheme val="minor"/>
    </font>
    <font>
      <sz val="8.0"/>
      <color rgb="FF000000"/>
      <name val="Arial"/>
    </font>
    <font>
      <sz val="11.0"/>
      <color rgb="FF000000"/>
      <name val="Arial"/>
      <scheme val="minor"/>
    </font>
    <font>
      <sz val="12.0"/>
      <color theme="1"/>
      <name val="Arial"/>
      <scheme val="minor"/>
    </font>
    <font>
      <sz val="12.0"/>
      <color rgb="FF000000"/>
      <name val="Arial"/>
      <scheme val="minor"/>
    </font>
    <font>
      <u/>
      <color rgb="FF1155CC"/>
    </font>
    <font>
      <sz val="11.0"/>
      <color rgb="FF7E3794"/>
      <name val="Inconsolata"/>
    </font>
    <font>
      <sz val="10.0"/>
      <color theme="1"/>
      <name val="Arial"/>
    </font>
    <font>
      <sz val="10.0"/>
      <color rgb="FF000000"/>
      <name val="Arial"/>
    </font>
    <font>
      <u/>
      <sz val="10.0"/>
      <color rgb="FF1155CC"/>
      <name val="Arial"/>
    </font>
    <font>
      <b/>
      <sz val="10.0"/>
      <color rgb="FF0000FF"/>
      <name val="Arial"/>
    </font>
    <font>
      <sz val="8.0"/>
      <color theme="1"/>
      <name val="Arial"/>
    </font>
    <font>
      <i/>
      <sz val="11.0"/>
      <color rgb="FF666666"/>
      <name val="Arial"/>
      <scheme val="minor"/>
    </font>
    <font>
      <sz val="8.0"/>
      <color theme="1"/>
      <name val="Arial"/>
      <scheme val="minor"/>
    </font>
    <font>
      <sz val="11.0"/>
      <color rgb="FF11A9CC"/>
      <name val="Inconsolata"/>
    </font>
    <font>
      <sz val="11.0"/>
      <color rgb="FF333333"/>
      <name val="Arial"/>
    </font>
    <font>
      <b/>
      <i/>
      <color theme="1"/>
      <name val="Arial"/>
      <scheme val="minor"/>
    </font>
    <font>
      <color theme="1"/>
      <name val="Arial"/>
    </font>
    <font>
      <sz val="7.0"/>
      <color theme="1"/>
      <name val="Arial"/>
      <scheme val="minor"/>
    </font>
    <font>
      <sz val="7.0"/>
      <color rgb="FF000000"/>
      <name val="Arial"/>
    </font>
    <font>
      <sz val="7.0"/>
      <color rgb="FF1D1C1D"/>
      <name val="Arial"/>
    </font>
    <font>
      <u/>
      <color rgb="FF1155CC"/>
      <name val="Arial"/>
      <scheme val="minor"/>
    </font>
    <font>
      <sz val="11.0"/>
      <color rgb="FF000000"/>
      <name val="Arial"/>
    </font>
    <font>
      <i/>
      <color rgb="FF666666"/>
      <name val="Arial"/>
      <scheme val="minor"/>
    </font>
  </fonts>
  <fills count="22">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AD1DC"/>
        <bgColor rgb="FFEAD1DC"/>
      </patternFill>
    </fill>
    <fill>
      <patternFill patternType="solid">
        <fgColor rgb="FFFFF2CC"/>
        <bgColor rgb="FFFFF2CC"/>
      </patternFill>
    </fill>
    <fill>
      <patternFill patternType="solid">
        <fgColor rgb="FFCFE2F3"/>
        <bgColor rgb="FFCFE2F3"/>
      </patternFill>
    </fill>
    <fill>
      <patternFill patternType="solid">
        <fgColor rgb="FFB6D7A8"/>
        <bgColor rgb="FFB6D7A8"/>
      </patternFill>
    </fill>
    <fill>
      <patternFill patternType="solid">
        <fgColor rgb="FFD9D2E9"/>
        <bgColor rgb="FFD9D2E9"/>
      </patternFill>
    </fill>
    <fill>
      <patternFill patternType="solid">
        <fgColor rgb="FFD9EAD3"/>
        <bgColor rgb="FFD9EAD3"/>
      </patternFill>
    </fill>
    <fill>
      <patternFill patternType="solid">
        <fgColor rgb="FF93C47D"/>
        <bgColor rgb="FF93C47D"/>
      </patternFill>
    </fill>
    <fill>
      <patternFill patternType="solid">
        <fgColor rgb="FF999999"/>
        <bgColor rgb="FF999999"/>
      </patternFill>
    </fill>
    <fill>
      <patternFill patternType="solid">
        <fgColor rgb="FFEFEFEF"/>
        <bgColor rgb="FFEFEFEF"/>
      </patternFill>
    </fill>
    <fill>
      <patternFill patternType="solid">
        <fgColor rgb="FFF4CCCC"/>
        <bgColor rgb="FFF4CCCC"/>
      </patternFill>
    </fill>
    <fill>
      <patternFill patternType="solid">
        <fgColor theme="5"/>
        <bgColor theme="5"/>
      </patternFill>
    </fill>
    <fill>
      <patternFill patternType="solid">
        <fgColor rgb="FFFF0000"/>
        <bgColor rgb="FFFF0000"/>
      </patternFill>
    </fill>
    <fill>
      <patternFill patternType="solid">
        <fgColor rgb="FF6AA84F"/>
        <bgColor rgb="FF6AA84F"/>
      </patternFill>
    </fill>
    <fill>
      <patternFill patternType="solid">
        <fgColor rgb="FFF3F3F3"/>
        <bgColor rgb="FFF3F3F3"/>
      </patternFill>
    </fill>
    <fill>
      <patternFill patternType="solid">
        <fgColor rgb="FFF9F9F9"/>
        <bgColor rgb="FFF9F9F9"/>
      </patternFill>
    </fill>
    <fill>
      <patternFill patternType="solid">
        <fgColor theme="7"/>
        <bgColor theme="7"/>
      </patternFill>
    </fill>
    <fill>
      <patternFill patternType="solid">
        <fgColor rgb="FFC9DAF8"/>
        <bgColor rgb="FFC9DAF8"/>
      </patternFill>
    </fill>
    <fill>
      <patternFill patternType="solid">
        <fgColor theme="4"/>
        <bgColor theme="4"/>
      </patternFill>
    </fill>
  </fills>
  <borders count="47">
    <border/>
    <border>
      <left style="medium">
        <color rgb="FF000000"/>
      </left>
      <top style="medium">
        <color rgb="FF000000"/>
      </top>
      <bottom style="medium">
        <color rgb="FF000000"/>
      </bottom>
    </border>
    <border>
      <left style="double">
        <color rgb="FF000000"/>
      </left>
      <top style="double">
        <color rgb="FF000000"/>
      </top>
      <bottom style="medium">
        <color rgb="FF000000"/>
      </bottom>
    </border>
    <border>
      <top style="double">
        <color rgb="FF000000"/>
      </top>
      <bottom style="medium">
        <color rgb="FF000000"/>
      </bottom>
    </border>
    <border>
      <right style="double">
        <color rgb="FF000000"/>
      </right>
      <top style="double">
        <color rgb="FF000000"/>
      </top>
      <bottom style="medium">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top style="thick">
        <color rgb="FF000000"/>
      </top>
    </border>
    <border>
      <top style="thick">
        <color rgb="FF000000"/>
      </top>
    </border>
    <border>
      <right style="thick">
        <color rgb="FF000000"/>
      </right>
      <top style="thick">
        <color rgb="FF000000"/>
      </top>
    </border>
    <border>
      <left style="medium">
        <color rgb="FF000000"/>
      </left>
      <right style="medium">
        <color rgb="FF000000"/>
      </right>
      <top style="medium">
        <color rgb="FF000000"/>
      </top>
    </border>
    <border>
      <top style="medium">
        <color rgb="FF000000"/>
      </top>
      <bottom style="medium">
        <color rgb="FF000000"/>
      </bottom>
    </border>
    <border>
      <top style="thick">
        <color rgb="FF000000"/>
      </top>
      <bottom style="medium">
        <color rgb="FF000000"/>
      </bottom>
    </border>
    <border>
      <left style="medium">
        <color rgb="FF000000"/>
      </left>
      <right style="thick">
        <color rgb="FF000000"/>
      </right>
      <top style="thick">
        <color rgb="FF000000"/>
      </top>
      <bottom style="medium">
        <color rgb="FF000000"/>
      </bottom>
    </border>
    <border>
      <right style="medium">
        <color rgb="FF000000"/>
      </right>
      <top style="thick">
        <color rgb="FF000000"/>
      </top>
      <bottom style="medium">
        <color rgb="FF000000"/>
      </bottom>
    </border>
    <border>
      <left style="medium">
        <color rgb="FF000000"/>
      </left>
    </border>
    <border>
      <left style="double">
        <color rgb="FF000000"/>
      </left>
      <top style="medium">
        <color rgb="FF000000"/>
      </top>
    </border>
    <border>
      <top style="medium">
        <color rgb="FF000000"/>
      </top>
    </border>
    <border>
      <right style="double">
        <color rgb="FF000000"/>
      </right>
      <top style="medium">
        <color rgb="FF000000"/>
      </top>
    </border>
    <border>
      <left style="medium">
        <color rgb="FF000000"/>
      </left>
      <top style="medium">
        <color rgb="FF000000"/>
      </top>
    </border>
    <border>
      <right style="medium">
        <color rgb="FF000000"/>
      </right>
      <top style="medium">
        <color rgb="FF000000"/>
      </top>
    </border>
    <border>
      <top style="thin">
        <color rgb="FF000000"/>
      </top>
    </border>
    <border>
      <left style="medium">
        <color rgb="FF000000"/>
      </left>
      <right style="medium">
        <color rgb="FF000000"/>
      </right>
    </border>
    <border>
      <right style="medium">
        <color rgb="FF000000"/>
      </right>
    </border>
    <border>
      <left style="double">
        <color rgb="FF000000"/>
      </left>
    </border>
    <border>
      <right style="double">
        <color rgb="FF000000"/>
      </right>
    </border>
    <border>
      <left style="double">
        <color rgb="FF000000"/>
      </left>
      <bottom style="medium">
        <color rgb="FF000000"/>
      </bottom>
    </border>
    <border>
      <bottom style="medium">
        <color rgb="FF000000"/>
      </bottom>
    </border>
    <border>
      <right style="double">
        <color rgb="FF000000"/>
      </right>
      <bottom style="medium">
        <color rgb="FF000000"/>
      </bottom>
    </border>
    <border>
      <left style="medium">
        <color rgb="FF000000"/>
      </left>
      <right style="medium">
        <color rgb="FF000000"/>
      </right>
      <bottom style="medium">
        <color rgb="FF000000"/>
      </bottom>
    </border>
    <border>
      <left style="medium">
        <color rgb="FF000000"/>
      </left>
      <bottom style="medium">
        <color rgb="FF000000"/>
      </bottom>
    </border>
    <border>
      <right style="medium">
        <color rgb="FF000000"/>
      </right>
      <bottom style="medium">
        <color rgb="FF000000"/>
      </bottom>
    </border>
    <border>
      <bottom style="thin">
        <color rgb="FF000000"/>
      </bottom>
    </border>
    <border>
      <right style="medium">
        <color rgb="FF000000"/>
      </right>
      <top style="medium">
        <color rgb="FF000000"/>
      </top>
      <bottom style="medium">
        <color rgb="FF000000"/>
      </bottom>
    </border>
    <border>
      <left style="thin">
        <color rgb="FF000000"/>
      </left>
    </border>
    <border>
      <bottom style="double">
        <color rgb="FF000000"/>
      </bottom>
    </border>
    <border>
      <right style="double">
        <color rgb="FF000000"/>
      </right>
      <bottom style="double">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double">
        <color rgb="FF000000"/>
      </left>
      <bottom style="double">
        <color rgb="FF000000"/>
      </bottom>
    </border>
    <border>
      <top style="thick">
        <color rgb="FF000000"/>
      </top>
      <bottom style="double">
        <color rgb="FF000000"/>
      </bottom>
    </border>
    <border>
      <bottom style="thick">
        <color rgb="FF000000"/>
      </bottom>
    </border>
    <border>
      <left style="thin">
        <color rgb="FF000000"/>
      </left>
      <top style="thin">
        <color rgb="FF000000"/>
      </top>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408">
    <xf borderId="0" fillId="0" fontId="0" numFmtId="0" xfId="0" applyAlignment="1" applyFont="1">
      <alignment readingOrder="0" shrinkToFit="0" vertical="bottom" wrapText="0"/>
    </xf>
    <xf borderId="0" fillId="2" fontId="1" numFmtId="0" xfId="0" applyAlignment="1" applyFill="1" applyFont="1">
      <alignment horizontal="center"/>
    </xf>
    <xf borderId="0" fillId="0" fontId="1" numFmtId="0" xfId="0" applyAlignment="1" applyFont="1">
      <alignment horizontal="center"/>
    </xf>
    <xf borderId="0" fillId="2" fontId="1" numFmtId="0" xfId="0" applyAlignment="1" applyFont="1">
      <alignment horizontal="center" readingOrder="0"/>
    </xf>
    <xf borderId="0" fillId="0" fontId="2" numFmtId="0" xfId="0" applyAlignment="1" applyFont="1">
      <alignment horizontal="center" readingOrder="0"/>
    </xf>
    <xf borderId="0" fillId="3" fontId="3" numFmtId="0" xfId="0" applyAlignment="1" applyFill="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readingOrder="0"/>
    </xf>
    <xf borderId="0" fillId="2" fontId="4" numFmtId="0" xfId="0" applyAlignment="1" applyFont="1">
      <alignment horizontal="center" readingOrder="0"/>
    </xf>
    <xf borderId="1" fillId="0" fontId="5" numFmtId="0" xfId="0" applyAlignment="1" applyBorder="1" applyFont="1">
      <alignment horizontal="center" readingOrder="0"/>
    </xf>
    <xf borderId="2" fillId="4" fontId="1" numFmtId="0" xfId="0" applyAlignment="1" applyBorder="1" applyFill="1" applyFont="1">
      <alignment horizontal="center" readingOrder="0"/>
    </xf>
    <xf borderId="3" fillId="0" fontId="6" numFmtId="0" xfId="0" applyBorder="1" applyFont="1"/>
    <xf borderId="4" fillId="0" fontId="6" numFmtId="0" xfId="0" applyBorder="1" applyFont="1"/>
    <xf borderId="5" fillId="5" fontId="1" numFmtId="0" xfId="0" applyAlignment="1" applyBorder="1" applyFill="1" applyFont="1">
      <alignment horizontal="center" readingOrder="0"/>
    </xf>
    <xf borderId="5" fillId="0" fontId="6" numFmtId="0" xfId="0" applyBorder="1" applyFont="1"/>
    <xf borderId="6" fillId="0" fontId="6" numFmtId="0" xfId="0" applyBorder="1" applyFont="1"/>
    <xf borderId="7" fillId="6" fontId="1" numFmtId="0" xfId="0" applyAlignment="1" applyBorder="1" applyFill="1" applyFont="1">
      <alignment horizontal="center" readingOrder="0" shrinkToFit="0" wrapText="1"/>
    </xf>
    <xf borderId="8" fillId="7" fontId="1" numFmtId="0" xfId="0" applyAlignment="1" applyBorder="1" applyFill="1" applyFont="1">
      <alignment horizontal="center" readingOrder="0"/>
    </xf>
    <xf borderId="9" fillId="0" fontId="6" numFmtId="0" xfId="0" applyBorder="1" applyFont="1"/>
    <xf borderId="10" fillId="0" fontId="6" numFmtId="0" xfId="0" applyBorder="1" applyFont="1"/>
    <xf borderId="8" fillId="8" fontId="1" numFmtId="0" xfId="0" applyAlignment="1" applyBorder="1" applyFill="1" applyFont="1">
      <alignment horizontal="center" readingOrder="0" shrinkToFit="0" wrapText="1"/>
    </xf>
    <xf borderId="11" fillId="9" fontId="1" numFmtId="0" xfId="0" applyAlignment="1" applyBorder="1" applyFill="1" applyFont="1">
      <alignment horizontal="center" readingOrder="0"/>
    </xf>
    <xf borderId="12" fillId="9" fontId="1" numFmtId="0" xfId="0" applyAlignment="1" applyBorder="1" applyFont="1">
      <alignment horizontal="center" readingOrder="0"/>
    </xf>
    <xf borderId="13" fillId="9" fontId="1" numFmtId="0" xfId="0" applyAlignment="1" applyBorder="1" applyFont="1">
      <alignment horizontal="center" readingOrder="0"/>
    </xf>
    <xf borderId="13" fillId="0" fontId="6" numFmtId="0" xfId="0" applyBorder="1" applyFont="1"/>
    <xf borderId="14" fillId="10" fontId="1" numFmtId="0" xfId="0" applyAlignment="1" applyBorder="1" applyFill="1" applyFont="1">
      <alignment horizontal="center" readingOrder="0"/>
    </xf>
    <xf borderId="15" fillId="0" fontId="6" numFmtId="0" xfId="0" applyBorder="1" applyFont="1"/>
    <xf borderId="9" fillId="9" fontId="1" numFmtId="0" xfId="0" applyAlignment="1" applyBorder="1" applyFont="1">
      <alignment horizontal="center" readingOrder="0"/>
    </xf>
    <xf borderId="10" fillId="10" fontId="1" numFmtId="0" xfId="0" applyAlignment="1" applyBorder="1" applyFont="1">
      <alignment horizontal="center" readingOrder="0" shrinkToFit="0" wrapText="1"/>
    </xf>
    <xf borderId="7" fillId="10" fontId="1" numFmtId="0" xfId="0" applyAlignment="1" applyBorder="1" applyFont="1">
      <alignment horizontal="center" readingOrder="0" shrinkToFit="0" wrapText="1"/>
    </xf>
    <xf borderId="8" fillId="4" fontId="1" numFmtId="0" xfId="0" applyAlignment="1" applyBorder="1" applyFont="1">
      <alignment horizontal="center" readingOrder="0"/>
    </xf>
    <xf borderId="8" fillId="11" fontId="1" numFmtId="0" xfId="0" applyAlignment="1" applyBorder="1" applyFill="1" applyFont="1">
      <alignment horizontal="center" readingOrder="0"/>
    </xf>
    <xf borderId="0" fillId="2" fontId="1" numFmtId="0" xfId="0" applyAlignment="1" applyFont="1">
      <alignment horizontal="center" readingOrder="0" shrinkToFit="0" wrapText="1"/>
    </xf>
    <xf borderId="16" fillId="9" fontId="1" numFmtId="0" xfId="0" applyAlignment="1" applyBorder="1" applyFont="1">
      <alignment horizontal="center" readingOrder="0" shrinkToFit="0" wrapText="1"/>
    </xf>
    <xf borderId="17" fillId="0" fontId="1" numFmtId="0" xfId="0" applyAlignment="1" applyBorder="1" applyFont="1">
      <alignment horizontal="center"/>
    </xf>
    <xf borderId="18" fillId="0" fontId="1" numFmtId="0" xfId="0" applyAlignment="1" applyBorder="1" applyFont="1">
      <alignment horizontal="center"/>
    </xf>
    <xf borderId="18" fillId="0" fontId="1" numFmtId="0" xfId="0" applyAlignment="1" applyBorder="1" applyFont="1">
      <alignment horizontal="center" readingOrder="0" shrinkToFit="0" wrapText="1"/>
    </xf>
    <xf borderId="19" fillId="0" fontId="1" numFmtId="0" xfId="0" applyAlignment="1" applyBorder="1" applyFont="1">
      <alignment horizontal="center" readingOrder="0" shrinkToFit="0" wrapText="1"/>
    </xf>
    <xf borderId="9" fillId="0" fontId="1" numFmtId="0" xfId="0" applyAlignment="1" applyBorder="1" applyFont="1">
      <alignment horizontal="center" readingOrder="0" shrinkToFit="0" wrapText="1"/>
    </xf>
    <xf borderId="11" fillId="0" fontId="1" numFmtId="0" xfId="0" applyAlignment="1" applyBorder="1" applyFont="1">
      <alignment horizontal="center" readingOrder="0" shrinkToFit="0" vertical="bottom" wrapText="1"/>
    </xf>
    <xf borderId="20" fillId="0" fontId="1" numFmtId="0" xfId="0" applyAlignment="1" applyBorder="1" applyFont="1">
      <alignment horizontal="center" readingOrder="0" shrinkToFit="0" wrapText="1"/>
    </xf>
    <xf borderId="21" fillId="0" fontId="1" numFmtId="0" xfId="0" applyAlignment="1" applyBorder="1" applyFont="1">
      <alignment horizontal="center" readingOrder="0" shrinkToFit="0" wrapText="1"/>
    </xf>
    <xf borderId="11" fillId="0" fontId="1" numFmtId="0" xfId="0" applyAlignment="1" applyBorder="1" applyFont="1">
      <alignment horizontal="center" readingOrder="0" shrinkToFit="0" wrapText="1"/>
    </xf>
    <xf borderId="18" fillId="0" fontId="1" numFmtId="0" xfId="0" applyAlignment="1" applyBorder="1" applyFont="1">
      <alignment horizontal="center" readingOrder="0" shrinkToFit="0" wrapText="1"/>
    </xf>
    <xf borderId="0" fillId="0" fontId="1" numFmtId="0" xfId="0" applyAlignment="1" applyFont="1">
      <alignment readingOrder="0"/>
    </xf>
    <xf borderId="22" fillId="0" fontId="1" numFmtId="0" xfId="0" applyAlignment="1" applyBorder="1" applyFont="1">
      <alignment horizontal="center" readingOrder="0" shrinkToFit="0" wrapText="1"/>
    </xf>
    <xf borderId="23" fillId="10" fontId="1" numFmtId="0" xfId="0" applyAlignment="1" applyBorder="1" applyFont="1">
      <alignment horizontal="center" readingOrder="0" shrinkToFit="0" wrapText="1"/>
    </xf>
    <xf borderId="24" fillId="0" fontId="1" numFmtId="0" xfId="0" applyBorder="1" applyFont="1"/>
    <xf borderId="21" fillId="10" fontId="1" numFmtId="0" xfId="0" applyAlignment="1" applyBorder="1" applyFont="1">
      <alignment horizontal="center" readingOrder="0"/>
    </xf>
    <xf borderId="18" fillId="10" fontId="1" numFmtId="0" xfId="0" applyAlignment="1" applyBorder="1" applyFont="1">
      <alignment horizontal="center" readingOrder="0" shrinkToFit="0" wrapText="1"/>
    </xf>
    <xf borderId="20" fillId="0" fontId="1" numFmtId="0" xfId="0" applyAlignment="1" applyBorder="1" applyFont="1">
      <alignment horizontal="center" readingOrder="0"/>
    </xf>
    <xf borderId="18" fillId="0" fontId="1" numFmtId="0" xfId="0" applyAlignment="1" applyBorder="1" applyFont="1">
      <alignment horizontal="center" readingOrder="0"/>
    </xf>
    <xf borderId="21" fillId="0" fontId="1" numFmtId="0" xfId="0" applyAlignment="1" applyBorder="1" applyFont="1">
      <alignment horizontal="center" readingOrder="0"/>
    </xf>
    <xf borderId="0" fillId="2" fontId="7" numFmtId="0" xfId="0" applyAlignment="1" applyFont="1">
      <alignment horizontal="center" readingOrder="0" shrinkToFit="0" wrapText="1"/>
    </xf>
    <xf borderId="16" fillId="9" fontId="7" numFmtId="0" xfId="0" applyAlignment="1" applyBorder="1" applyFont="1">
      <alignment horizontal="center" readingOrder="0" shrinkToFit="0" wrapText="1"/>
    </xf>
    <xf borderId="25" fillId="0" fontId="1" numFmtId="0" xfId="0" applyAlignment="1" applyBorder="1" applyFont="1">
      <alignment horizontal="center"/>
    </xf>
    <xf borderId="26" fillId="0" fontId="1" numFmtId="0" xfId="0" applyAlignment="1" applyBorder="1" applyFont="1">
      <alignment horizontal="center"/>
    </xf>
    <xf borderId="0" fillId="3" fontId="7" numFmtId="0" xfId="0" applyAlignment="1" applyFont="1">
      <alignment horizontal="center" readingOrder="0" shrinkToFit="0" wrapText="1"/>
    </xf>
    <xf borderId="23" fillId="0" fontId="1" numFmtId="0" xfId="0" applyAlignment="1" applyBorder="1" applyFont="1">
      <alignment horizontal="center" readingOrder="0" shrinkToFit="0" wrapText="1"/>
    </xf>
    <xf borderId="16" fillId="3" fontId="7" numFmtId="0" xfId="0" applyAlignment="1" applyBorder="1" applyFont="1">
      <alignment horizontal="center" readingOrder="0" shrinkToFit="0" wrapText="1"/>
    </xf>
    <xf borderId="24" fillId="0" fontId="1" numFmtId="0" xfId="0" applyAlignment="1" applyBorder="1" applyFont="1">
      <alignment horizontal="center" readingOrder="0" shrinkToFit="0" wrapText="1"/>
    </xf>
    <xf borderId="16" fillId="0" fontId="1" numFmtId="0" xfId="0" applyAlignment="1" applyBorder="1" applyFont="1">
      <alignment horizontal="center" readingOrder="0" shrinkToFit="0" wrapText="1"/>
    </xf>
    <xf borderId="23" fillId="0" fontId="1" numFmtId="0" xfId="0" applyAlignment="1" applyBorder="1" applyFont="1">
      <alignment horizontal="center" readingOrder="0"/>
    </xf>
    <xf borderId="0" fillId="0" fontId="8" numFmtId="0" xfId="0" applyAlignment="1" applyFont="1">
      <alignment horizontal="center"/>
    </xf>
    <xf borderId="0" fillId="0" fontId="8" numFmtId="0" xfId="0" applyAlignment="1" applyFont="1">
      <alignment horizontal="left"/>
    </xf>
    <xf borderId="23" fillId="10" fontId="1" numFmtId="0" xfId="0" applyAlignment="1" applyBorder="1" applyFont="1">
      <alignment horizontal="center"/>
    </xf>
    <xf borderId="24" fillId="0" fontId="1" numFmtId="0" xfId="0" applyAlignment="1" applyBorder="1" applyFont="1">
      <alignment horizontal="center" readingOrder="0"/>
    </xf>
    <xf borderId="24" fillId="10" fontId="1" numFmtId="0" xfId="0" applyAlignment="1" applyBorder="1" applyFont="1">
      <alignment horizontal="center"/>
    </xf>
    <xf borderId="24" fillId="10" fontId="1" numFmtId="0" xfId="0" applyAlignment="1" applyBorder="1" applyFont="1">
      <alignment horizontal="center" readingOrder="0"/>
    </xf>
    <xf borderId="16" fillId="0" fontId="1" numFmtId="0" xfId="0" applyAlignment="1" applyBorder="1" applyFont="1">
      <alignment horizontal="center" readingOrder="0"/>
    </xf>
    <xf borderId="24" fillId="0" fontId="1" numFmtId="0" xfId="0" applyAlignment="1" applyBorder="1" applyFont="1">
      <alignment horizontal="center"/>
    </xf>
    <xf borderId="24" fillId="3" fontId="7" numFmtId="0" xfId="0" applyAlignment="1" applyBorder="1" applyFont="1">
      <alignment horizontal="center" readingOrder="0" shrinkToFit="0" wrapText="1"/>
    </xf>
    <xf borderId="0" fillId="2" fontId="1" numFmtId="0" xfId="0" applyAlignment="1" applyFont="1">
      <alignment horizontal="center" shrinkToFit="0" wrapText="1"/>
    </xf>
    <xf borderId="16" fillId="9" fontId="1" numFmtId="0" xfId="0" applyAlignment="1" applyBorder="1" applyFont="1">
      <alignment horizontal="center" shrinkToFit="0" wrapText="1"/>
    </xf>
    <xf borderId="25" fillId="2" fontId="1" numFmtId="0" xfId="0" applyAlignment="1" applyBorder="1" applyFont="1">
      <alignment horizontal="center" readingOrder="0" shrinkToFit="0" wrapText="1"/>
    </xf>
    <xf borderId="26" fillId="2" fontId="1" numFmtId="0" xfId="0" applyAlignment="1" applyBorder="1" applyFont="1">
      <alignment horizontal="center" readingOrder="0" shrinkToFit="0" wrapText="1"/>
    </xf>
    <xf borderId="0" fillId="0" fontId="9" numFmtId="0" xfId="0" applyAlignment="1" applyFont="1">
      <alignment horizontal="left"/>
    </xf>
    <xf borderId="0" fillId="10" fontId="1" numFmtId="0" xfId="0" applyAlignment="1" applyFont="1">
      <alignment horizontal="center" readingOrder="0"/>
    </xf>
    <xf borderId="16" fillId="0"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center" shrinkToFit="0" wrapText="1"/>
    </xf>
    <xf borderId="23" fillId="0" fontId="1" numFmtId="0" xfId="0" applyAlignment="1" applyBorder="1" applyFont="1">
      <alignment horizontal="center" shrinkToFit="0" wrapText="1"/>
    </xf>
    <xf borderId="16" fillId="0" fontId="1" numFmtId="0" xfId="0" applyAlignment="1" applyBorder="1" applyFont="1">
      <alignment horizontal="center" shrinkToFit="0" wrapText="1"/>
    </xf>
    <xf borderId="23" fillId="0" fontId="1" numFmtId="0" xfId="0" applyAlignment="1" applyBorder="1" applyFont="1">
      <alignment horizontal="center"/>
    </xf>
    <xf borderId="0" fillId="10" fontId="1" numFmtId="0" xfId="0" applyAlignment="1" applyFont="1">
      <alignment horizontal="center"/>
    </xf>
    <xf borderId="25" fillId="2" fontId="10" numFmtId="0" xfId="0" applyAlignment="1" applyBorder="1" applyFont="1">
      <alignment horizontal="center" readingOrder="0" shrinkToFit="0" wrapText="1"/>
    </xf>
    <xf borderId="0" fillId="2" fontId="10" numFmtId="0" xfId="0" applyAlignment="1" applyFont="1">
      <alignment horizontal="center" readingOrder="0" shrinkToFit="0" wrapText="1"/>
    </xf>
    <xf borderId="26" fillId="2" fontId="10" numFmtId="0" xfId="0" applyAlignment="1" applyBorder="1" applyFont="1">
      <alignment horizontal="center" readingOrder="0" shrinkToFit="0" wrapText="1"/>
    </xf>
    <xf borderId="23" fillId="2" fontId="10" numFmtId="0" xfId="0" applyAlignment="1" applyBorder="1" applyFont="1">
      <alignment horizontal="center" readingOrder="0" shrinkToFit="0" wrapText="1"/>
    </xf>
    <xf borderId="16" fillId="0" fontId="11" numFmtId="0" xfId="0" applyAlignment="1" applyBorder="1" applyFont="1">
      <alignment horizontal="center" readingOrder="0" shrinkToFit="0" wrapText="1"/>
    </xf>
    <xf borderId="25" fillId="2" fontId="1" numFmtId="0" xfId="0" applyAlignment="1" applyBorder="1" applyFont="1">
      <alignment horizontal="center" shrinkToFit="0" wrapText="1"/>
    </xf>
    <xf borderId="26" fillId="2" fontId="1" numFmtId="0" xfId="0" applyAlignment="1" applyBorder="1" applyFont="1">
      <alignment horizontal="center" shrinkToFit="0" wrapText="1"/>
    </xf>
    <xf borderId="24" fillId="0" fontId="1" numFmtId="0" xfId="0" applyAlignment="1" applyBorder="1" applyFont="1">
      <alignment horizontal="center" shrinkToFit="0" wrapText="1"/>
    </xf>
    <xf borderId="24" fillId="10" fontId="8" numFmtId="0" xfId="0" applyAlignment="1" applyBorder="1" applyFont="1">
      <alignment horizontal="center"/>
    </xf>
    <xf borderId="24" fillId="10" fontId="1" numFmtId="0" xfId="0" applyAlignment="1" applyBorder="1" applyFont="1">
      <alignment horizontal="center" shrinkToFit="0" wrapText="1"/>
    </xf>
    <xf borderId="27" fillId="2" fontId="1" numFmtId="0" xfId="0" applyAlignment="1" applyBorder="1" applyFont="1">
      <alignment horizontal="center" shrinkToFit="0" wrapText="1"/>
    </xf>
    <xf borderId="28" fillId="2" fontId="1" numFmtId="0" xfId="0" applyAlignment="1" applyBorder="1" applyFont="1">
      <alignment horizontal="center" shrinkToFit="0" wrapText="1"/>
    </xf>
    <xf borderId="29" fillId="2" fontId="1" numFmtId="0" xfId="0" applyAlignment="1" applyBorder="1" applyFont="1">
      <alignment horizontal="center" shrinkToFit="0" wrapText="1"/>
    </xf>
    <xf borderId="28" fillId="0" fontId="1" numFmtId="0" xfId="0" applyAlignment="1" applyBorder="1" applyFont="1">
      <alignment horizontal="center" shrinkToFit="0" wrapText="1"/>
    </xf>
    <xf borderId="28" fillId="0" fontId="6" numFmtId="0" xfId="0" applyBorder="1" applyFont="1"/>
    <xf borderId="30" fillId="0" fontId="1" numFmtId="0" xfId="0" applyAlignment="1" applyBorder="1" applyFont="1">
      <alignment horizontal="center" shrinkToFit="0" wrapText="1"/>
    </xf>
    <xf borderId="31" fillId="0" fontId="1" numFmtId="0" xfId="0" applyAlignment="1" applyBorder="1" applyFont="1">
      <alignment horizontal="center" readingOrder="0" shrinkToFit="0" wrapText="1"/>
    </xf>
    <xf borderId="32" fillId="0" fontId="6" numFmtId="0" xfId="0" applyBorder="1" applyFont="1"/>
    <xf borderId="30" fillId="2" fontId="1" numFmtId="0" xfId="0" applyAlignment="1" applyBorder="1" applyFont="1">
      <alignment horizontal="center" readingOrder="0" shrinkToFit="0" wrapText="1"/>
    </xf>
    <xf borderId="28" fillId="2" fontId="1" numFmtId="0" xfId="0" applyAlignment="1" applyBorder="1" applyFont="1">
      <alignment horizontal="center" readingOrder="0" shrinkToFit="0" wrapText="1"/>
    </xf>
    <xf borderId="33" fillId="2" fontId="1" numFmtId="0" xfId="0" applyAlignment="1" applyBorder="1" applyFont="1">
      <alignment horizontal="center" readingOrder="0" shrinkToFit="0" wrapText="1"/>
    </xf>
    <xf borderId="28" fillId="0" fontId="1" numFmtId="0" xfId="0" applyBorder="1" applyFont="1"/>
    <xf borderId="30" fillId="10" fontId="1" numFmtId="0" xfId="0" applyAlignment="1" applyBorder="1" applyFont="1">
      <alignment horizontal="center" readingOrder="0" shrinkToFit="0" wrapText="1"/>
    </xf>
    <xf borderId="31" fillId="0" fontId="1" numFmtId="0" xfId="0" applyBorder="1" applyFont="1"/>
    <xf borderId="32" fillId="2" fontId="1" numFmtId="0" xfId="0" applyAlignment="1" applyBorder="1" applyFont="1">
      <alignment horizontal="center" readingOrder="0" shrinkToFit="0" wrapText="1"/>
    </xf>
    <xf borderId="32" fillId="10" fontId="1" numFmtId="0" xfId="0" applyAlignment="1" applyBorder="1" applyFont="1">
      <alignment horizontal="center" readingOrder="0" shrinkToFit="0" wrapText="1"/>
    </xf>
    <xf borderId="28" fillId="10" fontId="7" numFmtId="0" xfId="0" applyAlignment="1" applyBorder="1" applyFont="1">
      <alignment horizontal="center" readingOrder="0"/>
    </xf>
    <xf borderId="31" fillId="0" fontId="1" numFmtId="0" xfId="0" applyAlignment="1" applyBorder="1" applyFont="1">
      <alignment horizontal="center"/>
    </xf>
    <xf borderId="28" fillId="0" fontId="1" numFmtId="0" xfId="0" applyAlignment="1" applyBorder="1" applyFont="1">
      <alignment horizontal="center"/>
    </xf>
    <xf borderId="32" fillId="0" fontId="1" numFmtId="0" xfId="0" applyAlignment="1" applyBorder="1" applyFont="1">
      <alignment horizontal="center"/>
    </xf>
    <xf borderId="0" fillId="2" fontId="4" numFmtId="0" xfId="0" applyAlignment="1" applyFont="1">
      <alignment horizontal="center" readingOrder="0" shrinkToFit="0" wrapText="1"/>
    </xf>
    <xf borderId="20" fillId="0" fontId="4" numFmtId="0" xfId="0" applyAlignment="1" applyBorder="1" applyFont="1">
      <alignment horizontal="center" readingOrder="0" shrinkToFit="0" wrapText="1"/>
    </xf>
    <xf borderId="23" fillId="2" fontId="12" numFmtId="0" xfId="0" applyAlignment="1" applyBorder="1" applyFont="1">
      <alignment horizontal="center" readingOrder="0" shrinkToFit="0" wrapText="1"/>
    </xf>
    <xf borderId="12" fillId="12" fontId="13" numFmtId="0" xfId="0" applyAlignment="1" applyBorder="1" applyFill="1" applyFont="1">
      <alignment horizontal="center" readingOrder="0" shrinkToFit="0" wrapText="1"/>
    </xf>
    <xf borderId="12" fillId="12" fontId="14" numFmtId="0" xfId="0" applyAlignment="1" applyBorder="1" applyFont="1">
      <alignment horizontal="center" readingOrder="0" shrinkToFit="0" wrapText="1"/>
    </xf>
    <xf borderId="12" fillId="0" fontId="6" numFmtId="0" xfId="0" applyBorder="1" applyFont="1"/>
    <xf borderId="34" fillId="0" fontId="6" numFmtId="0" xfId="0" applyBorder="1" applyFont="1"/>
    <xf borderId="24" fillId="12" fontId="15" numFmtId="0" xfId="0" applyAlignment="1" applyBorder="1" applyFont="1">
      <alignment horizontal="center" readingOrder="0" shrinkToFit="0" wrapText="1"/>
    </xf>
    <xf borderId="0" fillId="12" fontId="16" numFmtId="0" xfId="0" applyAlignment="1" applyFont="1">
      <alignment horizontal="center" readingOrder="0" shrinkToFit="0" wrapText="1"/>
    </xf>
    <xf borderId="24" fillId="0" fontId="6" numFmtId="0" xfId="0" applyBorder="1" applyFont="1"/>
    <xf borderId="16" fillId="2" fontId="5" numFmtId="0" xfId="0" applyAlignment="1" applyBorder="1" applyFont="1">
      <alignment horizontal="center" readingOrder="0" shrinkToFit="0" wrapText="1"/>
    </xf>
    <xf borderId="26" fillId="0" fontId="1" numFmtId="0" xfId="0" applyAlignment="1" applyBorder="1" applyFont="1">
      <alignment horizontal="center" readingOrder="0" shrinkToFit="0" wrapText="1"/>
    </xf>
    <xf borderId="0" fillId="0" fontId="1" numFmtId="11" xfId="0" applyAlignment="1" applyFont="1" applyNumberFormat="1">
      <alignment horizontal="center" readingOrder="0"/>
    </xf>
    <xf borderId="18" fillId="0" fontId="1" numFmtId="0" xfId="0" applyBorder="1" applyFont="1"/>
    <xf borderId="18" fillId="3" fontId="17" numFmtId="0" xfId="0" applyAlignment="1" applyBorder="1" applyFont="1">
      <alignment horizontal="center" readingOrder="0"/>
    </xf>
    <xf borderId="23" fillId="10" fontId="1" numFmtId="0" xfId="0" applyAlignment="1" applyBorder="1" applyFont="1">
      <alignment horizontal="center" readingOrder="0" shrinkToFit="0" wrapText="1"/>
    </xf>
    <xf borderId="16" fillId="8" fontId="1" numFmtId="0" xfId="0" applyAlignment="1" applyBorder="1" applyFont="1">
      <alignment horizontal="center" readingOrder="0" shrinkToFit="0" wrapText="1"/>
    </xf>
    <xf borderId="0" fillId="0" fontId="18" numFmtId="0" xfId="0" applyAlignment="1" applyFont="1">
      <alignment horizontal="center"/>
    </xf>
    <xf borderId="16" fillId="2" fontId="1" numFmtId="0" xfId="0" applyAlignment="1" applyBorder="1" applyFont="1">
      <alignment horizontal="center" shrinkToFit="0" wrapText="1"/>
    </xf>
    <xf borderId="0" fillId="2" fontId="1" numFmtId="0" xfId="0" applyAlignment="1" applyFont="1">
      <alignment horizontal="center" shrinkToFit="0" wrapText="1"/>
    </xf>
    <xf borderId="16" fillId="10" fontId="1" numFmtId="0" xfId="0" applyAlignment="1" applyBorder="1" applyFont="1">
      <alignment horizontal="center" readingOrder="0" shrinkToFit="0" wrapText="1"/>
    </xf>
    <xf borderId="23" fillId="10" fontId="1" numFmtId="0" xfId="0" applyAlignment="1" applyBorder="1" applyFont="1">
      <alignment horizontal="center" readingOrder="0"/>
    </xf>
    <xf borderId="0" fillId="3" fontId="7" numFmtId="0" xfId="0" applyAlignment="1" applyFont="1">
      <alignment horizontal="center" readingOrder="0"/>
    </xf>
    <xf borderId="0" fillId="0" fontId="1" numFmtId="4" xfId="0" applyFont="1" applyNumberFormat="1"/>
    <xf borderId="16" fillId="0" fontId="1" numFmtId="0" xfId="0" applyBorder="1" applyFont="1"/>
    <xf borderId="16" fillId="0" fontId="1" numFmtId="4" xfId="0" applyAlignment="1" applyBorder="1" applyFont="1" applyNumberFormat="1">
      <alignment horizontal="center"/>
    </xf>
    <xf borderId="0" fillId="0" fontId="1" numFmtId="4" xfId="0" applyAlignment="1" applyFont="1" applyNumberFormat="1">
      <alignment horizontal="center"/>
    </xf>
    <xf borderId="23" fillId="10" fontId="8" numFmtId="4" xfId="0" applyAlignment="1" applyBorder="1" applyFont="1" applyNumberFormat="1">
      <alignment horizontal="center"/>
    </xf>
    <xf borderId="16" fillId="10" fontId="1" numFmtId="4" xfId="0" applyAlignment="1" applyBorder="1" applyFont="1" applyNumberFormat="1">
      <alignment horizontal="center" readingOrder="0"/>
    </xf>
    <xf borderId="23" fillId="10" fontId="1" numFmtId="4" xfId="0" applyAlignment="1" applyBorder="1" applyFont="1" applyNumberFormat="1">
      <alignment horizontal="center" readingOrder="0"/>
    </xf>
    <xf borderId="0" fillId="13" fontId="1" numFmtId="0" xfId="0" applyAlignment="1" applyFill="1" applyFont="1">
      <alignment horizontal="center" readingOrder="0"/>
    </xf>
    <xf borderId="23" fillId="2" fontId="1" numFmtId="0" xfId="0" applyAlignment="1" applyBorder="1" applyFont="1">
      <alignment horizontal="center" readingOrder="0" shrinkToFit="0" wrapText="1"/>
    </xf>
    <xf borderId="0" fillId="0" fontId="1" numFmtId="0" xfId="0" applyFont="1"/>
    <xf borderId="0" fillId="0" fontId="19" numFmtId="4" xfId="0" applyAlignment="1" applyFont="1" applyNumberFormat="1">
      <alignment readingOrder="0" vertical="bottom"/>
    </xf>
    <xf borderId="0" fillId="0" fontId="20" numFmtId="0" xfId="0" applyAlignment="1" applyFont="1">
      <alignment readingOrder="0"/>
    </xf>
    <xf borderId="16" fillId="10" fontId="8" numFmtId="0" xfId="0" applyAlignment="1" applyBorder="1" applyFont="1">
      <alignment horizontal="center"/>
    </xf>
    <xf borderId="0" fillId="0" fontId="20" numFmtId="0" xfId="0" applyAlignment="1" applyFont="1">
      <alignment horizontal="center" readingOrder="0"/>
    </xf>
    <xf borderId="16" fillId="0" fontId="1" numFmtId="4" xfId="0" applyBorder="1" applyFont="1" applyNumberFormat="1"/>
    <xf borderId="23" fillId="10" fontId="1" numFmtId="4" xfId="0" applyAlignment="1" applyBorder="1" applyFont="1" applyNumberFormat="1">
      <alignment horizontal="center"/>
    </xf>
    <xf borderId="0" fillId="3" fontId="21" numFmtId="0" xfId="0" applyAlignment="1" applyFont="1">
      <alignment readingOrder="0" shrinkToFit="0" wrapText="0"/>
    </xf>
    <xf borderId="0" fillId="3" fontId="22" numFmtId="0" xfId="0" applyAlignment="1" applyFont="1">
      <alignment readingOrder="0" shrinkToFit="0" wrapText="0"/>
    </xf>
    <xf borderId="23" fillId="10" fontId="1" numFmtId="0" xfId="0" applyBorder="1" applyFont="1"/>
    <xf borderId="16" fillId="10" fontId="1" numFmtId="0" xfId="0" applyAlignment="1" applyBorder="1" applyFont="1">
      <alignment horizontal="center"/>
    </xf>
    <xf borderId="0" fillId="2" fontId="1" numFmtId="0" xfId="0" applyFont="1"/>
    <xf borderId="0" fillId="3" fontId="23" numFmtId="0" xfId="0" applyAlignment="1" applyFont="1">
      <alignment horizontal="center" readingOrder="0"/>
    </xf>
    <xf borderId="16" fillId="0" fontId="24" numFmtId="0" xfId="0" applyAlignment="1" applyBorder="1" applyFont="1">
      <alignment horizontal="center"/>
    </xf>
    <xf borderId="16" fillId="0" fontId="1" numFmtId="0" xfId="0" applyAlignment="1" applyBorder="1" applyFont="1">
      <alignment readingOrder="0"/>
    </xf>
    <xf borderId="0" fillId="0" fontId="1" numFmtId="11" xfId="0" applyAlignment="1" applyFont="1" applyNumberFormat="1">
      <alignment readingOrder="0"/>
    </xf>
    <xf borderId="16" fillId="0" fontId="1" numFmtId="11" xfId="0" applyAlignment="1" applyBorder="1" applyFont="1" applyNumberFormat="1">
      <alignment readingOrder="0"/>
    </xf>
    <xf borderId="16" fillId="0" fontId="18" numFmtId="0" xfId="0" applyAlignment="1" applyBorder="1" applyFont="1">
      <alignment horizontal="center"/>
    </xf>
    <xf borderId="0" fillId="14" fontId="1" numFmtId="0" xfId="0" applyAlignment="1" applyFill="1" applyFont="1">
      <alignment horizontal="center" readingOrder="0"/>
    </xf>
    <xf borderId="0" fillId="0" fontId="25" numFmtId="4" xfId="0" applyAlignment="1" applyFont="1" applyNumberFormat="1">
      <alignment horizontal="center" readingOrder="0" vertical="bottom"/>
    </xf>
    <xf borderId="0" fillId="15" fontId="25" numFmtId="4" xfId="0" applyAlignment="1" applyFill="1" applyFont="1" applyNumberFormat="1">
      <alignment horizontal="center" vertical="bottom"/>
    </xf>
    <xf borderId="0" fillId="3" fontId="26" numFmtId="0" xfId="0" applyAlignment="1" applyFont="1">
      <alignment horizontal="center" readingOrder="0"/>
    </xf>
    <xf borderId="16" fillId="14" fontId="1" numFmtId="0" xfId="0" applyAlignment="1" applyBorder="1" applyFont="1">
      <alignment horizontal="center" readingOrder="0"/>
    </xf>
    <xf borderId="0" fillId="14" fontId="1" numFmtId="0" xfId="0" applyAlignment="1" applyFont="1">
      <alignment horizontal="center" readingOrder="0" shrinkToFit="0" wrapText="1"/>
    </xf>
    <xf borderId="23" fillId="14" fontId="1" numFmtId="0" xfId="0" applyAlignment="1" applyBorder="1" applyFont="1">
      <alignment horizontal="center" readingOrder="0" shrinkToFit="0" wrapText="1"/>
    </xf>
    <xf borderId="16" fillId="2" fontId="1" numFmtId="0" xfId="0" applyAlignment="1" applyBorder="1" applyFont="1">
      <alignment horizontal="center" readingOrder="0" shrinkToFit="0" wrapText="1"/>
    </xf>
    <xf borderId="23" fillId="0" fontId="1" numFmtId="0" xfId="0" applyBorder="1" applyFont="1"/>
    <xf borderId="23" fillId="10" fontId="18" numFmtId="0" xfId="0" applyAlignment="1" applyBorder="1" applyFont="1">
      <alignment horizontal="center"/>
    </xf>
    <xf borderId="27" fillId="2" fontId="1" numFmtId="0" xfId="0" applyAlignment="1" applyBorder="1" applyFont="1">
      <alignment horizontal="center" readingOrder="0" shrinkToFit="0" wrapText="1"/>
    </xf>
    <xf borderId="29" fillId="2" fontId="1" numFmtId="0" xfId="0" applyAlignment="1" applyBorder="1" applyFont="1">
      <alignment horizontal="center" readingOrder="0" shrinkToFit="0" wrapText="1"/>
    </xf>
    <xf borderId="28" fillId="0" fontId="1" numFmtId="0" xfId="0" applyAlignment="1" applyBorder="1" applyFont="1">
      <alignment horizontal="center" readingOrder="0" shrinkToFit="0" wrapText="1"/>
    </xf>
    <xf borderId="31" fillId="0" fontId="27" numFmtId="0" xfId="0" applyAlignment="1" applyBorder="1" applyFont="1">
      <alignment horizontal="center" readingOrder="0" shrinkToFit="0" wrapText="1"/>
    </xf>
    <xf borderId="30" fillId="0" fontId="1" numFmtId="0" xfId="0" applyAlignment="1" applyBorder="1" applyFont="1">
      <alignment horizontal="center" readingOrder="0" shrinkToFit="0" wrapText="1"/>
    </xf>
    <xf borderId="30" fillId="10" fontId="1" numFmtId="0" xfId="0" applyAlignment="1" applyBorder="1" applyFont="1">
      <alignment horizontal="center"/>
    </xf>
    <xf borderId="28" fillId="10" fontId="28" numFmtId="0" xfId="0" applyAlignment="1" applyBorder="1" applyFont="1">
      <alignment horizontal="left"/>
    </xf>
    <xf borderId="20" fillId="2" fontId="1" numFmtId="0" xfId="0" applyAlignment="1" applyBorder="1" applyFont="1">
      <alignment horizontal="center" shrinkToFit="0" wrapText="1"/>
    </xf>
    <xf borderId="21" fillId="0" fontId="1" numFmtId="0" xfId="0" applyAlignment="1" applyBorder="1" applyFont="1">
      <alignment horizontal="center"/>
    </xf>
    <xf borderId="16" fillId="5" fontId="1" numFmtId="0" xfId="0" applyAlignment="1" applyBorder="1" applyFont="1">
      <alignment horizontal="center" readingOrder="0" shrinkToFit="0" wrapText="1"/>
    </xf>
    <xf borderId="16" fillId="5" fontId="1" numFmtId="0" xfId="0" applyAlignment="1" applyBorder="1" applyFont="1">
      <alignment horizontal="center" shrinkToFit="0" wrapText="1"/>
    </xf>
    <xf borderId="16" fillId="5" fontId="7" numFmtId="0" xfId="0" applyAlignment="1" applyBorder="1" applyFont="1">
      <alignment horizontal="center" readingOrder="0" shrinkToFit="0" wrapText="1"/>
    </xf>
    <xf borderId="23" fillId="3" fontId="7" numFmtId="0" xfId="0" applyAlignment="1" applyBorder="1" applyFont="1">
      <alignment horizontal="center" readingOrder="0"/>
    </xf>
    <xf borderId="24" fillId="10" fontId="1" numFmtId="0" xfId="0" applyAlignment="1" applyBorder="1" applyFont="1">
      <alignment horizontal="center" readingOrder="0" shrinkToFit="0" wrapText="1"/>
    </xf>
    <xf borderId="31" fillId="5" fontId="1" numFmtId="0" xfId="0" applyAlignment="1" applyBorder="1" applyFont="1">
      <alignment horizontal="center" readingOrder="0" shrinkToFit="0" wrapText="1"/>
    </xf>
    <xf borderId="30" fillId="0" fontId="1" numFmtId="0" xfId="0" applyBorder="1" applyFont="1"/>
    <xf borderId="32" fillId="10" fontId="1" numFmtId="0" xfId="0" applyAlignment="1" applyBorder="1" applyFont="1">
      <alignment horizontal="center"/>
    </xf>
    <xf borderId="30" fillId="0" fontId="1" numFmtId="0" xfId="0" applyAlignment="1" applyBorder="1" applyFont="1">
      <alignment horizontal="center"/>
    </xf>
    <xf borderId="28" fillId="0" fontId="1" numFmtId="0" xfId="0" applyAlignment="1" applyBorder="1" applyFont="1">
      <alignment horizontal="center" readingOrder="0"/>
    </xf>
    <xf borderId="31" fillId="0" fontId="1" numFmtId="0" xfId="0" applyAlignment="1" applyBorder="1" applyFont="1">
      <alignment horizontal="center" readingOrder="0"/>
    </xf>
    <xf borderId="35" fillId="0" fontId="1" numFmtId="0" xfId="0" applyAlignment="1" applyBorder="1" applyFont="1">
      <alignment horizontal="center"/>
    </xf>
    <xf borderId="16" fillId="0" fontId="29" numFmtId="0" xfId="0" applyAlignment="1" applyBorder="1" applyFont="1">
      <alignment horizontal="center" readingOrder="0" shrinkToFit="0" wrapText="1"/>
    </xf>
    <xf borderId="25" fillId="2" fontId="29" numFmtId="0" xfId="0" applyAlignment="1" applyBorder="1" applyFont="1">
      <alignment horizontal="center" readingOrder="0" shrinkToFit="0" wrapText="1"/>
    </xf>
    <xf borderId="0" fillId="2" fontId="29" numFmtId="0" xfId="0" applyAlignment="1" applyFont="1">
      <alignment horizontal="center" readingOrder="0" shrinkToFit="0" wrapText="1"/>
    </xf>
    <xf borderId="26" fillId="2" fontId="29" numFmtId="0" xfId="0" applyAlignment="1" applyBorder="1" applyFont="1">
      <alignment horizontal="center" readingOrder="0" shrinkToFit="0" wrapText="1"/>
    </xf>
    <xf borderId="36" fillId="16" fontId="29" numFmtId="0" xfId="0" applyAlignment="1" applyBorder="1" applyFill="1" applyFont="1">
      <alignment horizontal="center" readingOrder="0" shrinkToFit="0" wrapText="1"/>
    </xf>
    <xf borderId="36" fillId="0" fontId="6" numFmtId="0" xfId="0" applyBorder="1" applyFont="1"/>
    <xf borderId="37" fillId="0" fontId="6" numFmtId="0" xfId="0" applyBorder="1" applyFont="1"/>
    <xf borderId="0" fillId="0" fontId="29" numFmtId="0" xfId="0" applyAlignment="1" applyFont="1">
      <alignment horizontal="center"/>
    </xf>
    <xf borderId="23" fillId="0" fontId="29" numFmtId="0" xfId="0" applyAlignment="1" applyBorder="1" applyFont="1">
      <alignment horizontal="center"/>
    </xf>
    <xf borderId="0" fillId="3" fontId="30" numFmtId="0" xfId="0" applyAlignment="1" applyFont="1">
      <alignment horizontal="center" readingOrder="0" shrinkToFit="0" wrapText="1"/>
    </xf>
    <xf borderId="0" fillId="3" fontId="30" numFmtId="0" xfId="0" applyAlignment="1" applyFont="1">
      <alignment horizontal="center" readingOrder="0"/>
    </xf>
    <xf borderId="24" fillId="3" fontId="30" numFmtId="0" xfId="0" applyAlignment="1" applyBorder="1" applyFont="1">
      <alignment horizontal="center" readingOrder="0" shrinkToFit="0" wrapText="1"/>
    </xf>
    <xf borderId="23" fillId="2" fontId="29" numFmtId="0" xfId="0" applyAlignment="1" applyBorder="1" applyFont="1">
      <alignment horizontal="center" readingOrder="0" shrinkToFit="0" wrapText="1"/>
    </xf>
    <xf borderId="0" fillId="0" fontId="29" numFmtId="0" xfId="0" applyFont="1"/>
    <xf borderId="0" fillId="0" fontId="29" numFmtId="0" xfId="0" applyAlignment="1" applyFont="1">
      <alignment readingOrder="0"/>
    </xf>
    <xf borderId="0" fillId="0" fontId="29" numFmtId="0" xfId="0" applyAlignment="1" applyFont="1">
      <alignment horizontal="center" readingOrder="0"/>
    </xf>
    <xf borderId="0" fillId="0" fontId="29" numFmtId="0" xfId="0" applyAlignment="1" applyFont="1">
      <alignment horizontal="center" readingOrder="0" shrinkToFit="0" wrapText="1"/>
    </xf>
    <xf borderId="18" fillId="0" fontId="29" numFmtId="0" xfId="0" applyAlignment="1" applyBorder="1" applyFont="1">
      <alignment horizontal="center" readingOrder="0"/>
    </xf>
    <xf borderId="20" fillId="12" fontId="31" numFmtId="0" xfId="0" applyAlignment="1" applyBorder="1" applyFont="1">
      <alignment horizontal="center" readingOrder="0" shrinkToFit="0" wrapText="1"/>
    </xf>
    <xf borderId="21" fillId="0" fontId="6" numFmtId="0" xfId="0" applyBorder="1" applyFont="1"/>
    <xf borderId="35" fillId="2" fontId="1" numFmtId="0" xfId="0" applyAlignment="1" applyBorder="1" applyFont="1">
      <alignment horizontal="center"/>
    </xf>
    <xf borderId="16" fillId="2" fontId="32" numFmtId="0" xfId="0" applyAlignment="1" applyBorder="1" applyFont="1">
      <alignment horizontal="center" readingOrder="0" shrinkToFit="0" wrapText="1"/>
    </xf>
    <xf borderId="25" fillId="0" fontId="29" numFmtId="0" xfId="0" applyAlignment="1" applyBorder="1" applyFont="1">
      <alignment horizontal="center"/>
    </xf>
    <xf borderId="26" fillId="0" fontId="29" numFmtId="0" xfId="0" applyAlignment="1" applyBorder="1" applyFont="1">
      <alignment horizontal="center" readingOrder="0" shrinkToFit="0" wrapText="1"/>
    </xf>
    <xf borderId="23" fillId="0" fontId="29" numFmtId="0" xfId="0" applyAlignment="1" applyBorder="1" applyFont="1">
      <alignment horizontal="center" readingOrder="0"/>
    </xf>
    <xf borderId="24" fillId="0" fontId="29" numFmtId="0" xfId="0" applyAlignment="1" applyBorder="1" applyFont="1">
      <alignment horizontal="center"/>
    </xf>
    <xf borderId="20" fillId="0" fontId="29" numFmtId="0" xfId="0" applyAlignment="1" applyBorder="1" applyFont="1">
      <alignment horizontal="center" readingOrder="0" shrinkToFit="0" wrapText="1"/>
    </xf>
    <xf borderId="18" fillId="3" fontId="30" numFmtId="0" xfId="0" applyAlignment="1" applyBorder="1" applyFont="1">
      <alignment horizontal="center" readingOrder="0"/>
    </xf>
    <xf borderId="38" fillId="0" fontId="8" numFmtId="0" xfId="0" applyAlignment="1" applyBorder="1" applyFont="1">
      <alignment horizontal="left"/>
    </xf>
    <xf borderId="16" fillId="12" fontId="29" numFmtId="0" xfId="0" applyAlignment="1" applyBorder="1" applyFont="1">
      <alignment horizontal="center" readingOrder="0"/>
    </xf>
    <xf borderId="24" fillId="0" fontId="29" numFmtId="0" xfId="0" applyAlignment="1" applyBorder="1" applyFont="1">
      <alignment horizontal="center" shrinkToFit="0" wrapText="1"/>
    </xf>
    <xf borderId="23" fillId="2" fontId="29" numFmtId="0" xfId="0" applyAlignment="1" applyBorder="1" applyFont="1">
      <alignment readingOrder="0"/>
    </xf>
    <xf borderId="16" fillId="0" fontId="29" numFmtId="0" xfId="0" applyAlignment="1" applyBorder="1" applyFont="1">
      <alignment horizontal="center"/>
    </xf>
    <xf borderId="16" fillId="12" fontId="30" numFmtId="0" xfId="0" applyAlignment="1" applyBorder="1" applyFont="1">
      <alignment horizontal="center" readingOrder="0"/>
    </xf>
    <xf borderId="23" fillId="2" fontId="29" numFmtId="0" xfId="0" applyAlignment="1" applyBorder="1" applyFont="1">
      <alignment horizontal="center"/>
    </xf>
    <xf borderId="0" fillId="0" fontId="29" numFmtId="0" xfId="0" applyAlignment="1" applyFont="1">
      <alignment horizontal="center"/>
    </xf>
    <xf borderId="16" fillId="2" fontId="29" numFmtId="0" xfId="0" applyAlignment="1" applyBorder="1" applyFont="1">
      <alignment horizontal="center" shrinkToFit="0" wrapText="1"/>
    </xf>
    <xf borderId="24" fillId="2" fontId="29" numFmtId="0" xfId="0" applyAlignment="1" applyBorder="1" applyFont="1">
      <alignment horizontal="center" shrinkToFit="0" wrapText="1"/>
    </xf>
    <xf borderId="16" fillId="12" fontId="29" numFmtId="0" xfId="0" applyAlignment="1" applyBorder="1" applyFont="1">
      <alignment horizontal="center" readingOrder="0" shrinkToFit="0" wrapText="1"/>
    </xf>
    <xf borderId="16" fillId="0" fontId="29" numFmtId="0" xfId="0" applyAlignment="1" applyBorder="1" applyFont="1">
      <alignment horizontal="center" readingOrder="0"/>
    </xf>
    <xf borderId="24" fillId="0" fontId="29" numFmtId="0" xfId="0" applyAlignment="1" applyBorder="1" applyFont="1">
      <alignment horizontal="center" readingOrder="0"/>
    </xf>
    <xf borderId="25" fillId="2" fontId="29" numFmtId="0" xfId="0" applyAlignment="1" applyBorder="1" applyFont="1">
      <alignment horizontal="center" readingOrder="0"/>
    </xf>
    <xf borderId="0" fillId="2" fontId="29" numFmtId="0" xfId="0" applyAlignment="1" applyFont="1">
      <alignment horizontal="center" readingOrder="0"/>
    </xf>
    <xf borderId="26" fillId="2" fontId="29" numFmtId="0" xfId="0" applyAlignment="1" applyBorder="1" applyFont="1">
      <alignment horizontal="center" readingOrder="0"/>
    </xf>
    <xf borderId="0" fillId="2" fontId="29" numFmtId="0" xfId="0" applyAlignment="1" applyFont="1">
      <alignment horizontal="center"/>
    </xf>
    <xf borderId="0" fillId="0" fontId="33" numFmtId="0" xfId="0" applyAlignment="1" applyFont="1">
      <alignment horizontal="center" readingOrder="0" shrinkToFit="0" wrapText="1"/>
    </xf>
    <xf borderId="0" fillId="0" fontId="33" numFmtId="0" xfId="0" applyAlignment="1" applyFont="1">
      <alignment horizontal="center" readingOrder="0" shrinkToFit="0" vertical="bottom" wrapText="1"/>
    </xf>
    <xf borderId="0" fillId="0" fontId="33" numFmtId="0" xfId="0" applyAlignment="1" applyFont="1">
      <alignment horizontal="center" shrinkToFit="0" wrapText="1"/>
    </xf>
    <xf borderId="0" fillId="2" fontId="33" numFmtId="0" xfId="0" applyAlignment="1" applyFont="1">
      <alignment horizontal="center" readingOrder="0" shrinkToFit="0" wrapText="1"/>
    </xf>
    <xf borderId="0" fillId="0" fontId="29" numFmtId="4" xfId="0" applyAlignment="1" applyFont="1" applyNumberFormat="1">
      <alignment horizontal="center"/>
    </xf>
    <xf borderId="16" fillId="0" fontId="30" numFmtId="0" xfId="0" applyAlignment="1" applyBorder="1" applyFont="1">
      <alignment horizontal="center" readingOrder="0" shrinkToFit="0" wrapText="1"/>
    </xf>
    <xf borderId="25" fillId="2" fontId="29" numFmtId="0" xfId="0" applyAlignment="1" applyBorder="1" applyFont="1">
      <alignment horizontal="center"/>
    </xf>
    <xf borderId="26" fillId="2" fontId="29" numFmtId="0" xfId="0" applyAlignment="1" applyBorder="1" applyFont="1">
      <alignment horizontal="center"/>
    </xf>
    <xf borderId="16" fillId="0" fontId="29" numFmtId="4" xfId="0" applyAlignment="1" applyBorder="1" applyFont="1" applyNumberFormat="1">
      <alignment horizontal="center" shrinkToFit="0" wrapText="1"/>
    </xf>
    <xf borderId="0" fillId="0" fontId="29" numFmtId="0" xfId="0" applyAlignment="1" applyFont="1">
      <alignment horizontal="center" shrinkToFit="0" wrapText="1"/>
    </xf>
    <xf borderId="16" fillId="2" fontId="29" numFmtId="0" xfId="0" applyAlignment="1" applyBorder="1" applyFont="1">
      <alignment horizontal="center" readingOrder="0"/>
    </xf>
    <xf borderId="39" fillId="2" fontId="1" numFmtId="0" xfId="0" applyAlignment="1" applyBorder="1" applyFont="1">
      <alignment horizontal="center"/>
    </xf>
    <xf borderId="31" fillId="17" fontId="29" numFmtId="0" xfId="0" applyAlignment="1" applyBorder="1" applyFill="1" applyFont="1">
      <alignment horizontal="center" readingOrder="0"/>
    </xf>
    <xf borderId="40" fillId="0" fontId="29" numFmtId="0" xfId="0" applyAlignment="1" applyBorder="1" applyFont="1">
      <alignment horizontal="center"/>
    </xf>
    <xf borderId="36" fillId="0" fontId="29" numFmtId="0" xfId="0" applyAlignment="1" applyBorder="1" applyFont="1">
      <alignment horizontal="center"/>
    </xf>
    <xf borderId="37" fillId="0" fontId="29" numFmtId="0" xfId="0" applyAlignment="1" applyBorder="1" applyFont="1">
      <alignment horizontal="center"/>
    </xf>
    <xf borderId="28" fillId="0" fontId="29" numFmtId="0" xfId="0" applyAlignment="1" applyBorder="1" applyFont="1">
      <alignment horizontal="center"/>
    </xf>
    <xf borderId="28" fillId="0" fontId="29" numFmtId="0" xfId="0" applyAlignment="1" applyBorder="1" applyFont="1">
      <alignment horizontal="center" readingOrder="0"/>
    </xf>
    <xf borderId="31" fillId="0" fontId="29" numFmtId="0" xfId="0" applyAlignment="1" applyBorder="1" applyFont="1">
      <alignment horizontal="center"/>
    </xf>
    <xf borderId="31" fillId="0" fontId="29" numFmtId="4" xfId="0" applyAlignment="1" applyBorder="1" applyFont="1" applyNumberFormat="1">
      <alignment horizontal="center"/>
    </xf>
    <xf borderId="32" fillId="0" fontId="29" numFmtId="0" xfId="0" applyAlignment="1" applyBorder="1" applyFont="1">
      <alignment horizontal="center"/>
    </xf>
    <xf borderId="30" fillId="2" fontId="29" numFmtId="0" xfId="0" applyAlignment="1" applyBorder="1" applyFont="1">
      <alignment horizontal="center" readingOrder="0" shrinkToFit="0" wrapText="1"/>
    </xf>
    <xf borderId="28" fillId="0" fontId="29" numFmtId="0" xfId="0" applyAlignment="1" applyBorder="1" applyFont="1">
      <alignment readingOrder="0"/>
    </xf>
    <xf borderId="0" fillId="0" fontId="34" numFmtId="0" xfId="0" applyAlignment="1" applyFont="1">
      <alignment readingOrder="0" shrinkToFit="0" wrapText="1"/>
    </xf>
    <xf borderId="0" fillId="0" fontId="20" numFmtId="0" xfId="0" applyAlignment="1" applyFont="1">
      <alignment readingOrder="0" shrinkToFit="0" wrapText="1"/>
    </xf>
    <xf borderId="0" fillId="0" fontId="25" numFmtId="0" xfId="0" applyAlignment="1" applyFont="1">
      <alignment horizontal="center" readingOrder="0" shrinkToFit="0" vertical="bottom" wrapText="1"/>
    </xf>
    <xf borderId="0" fillId="0" fontId="25" numFmtId="0" xfId="0" applyAlignment="1" applyFont="1">
      <alignment horizontal="center" shrinkToFit="0" vertical="bottom" wrapText="1"/>
    </xf>
    <xf borderId="20" fillId="0" fontId="1" numFmtId="0" xfId="0" applyAlignment="1" applyBorder="1" applyFont="1">
      <alignment readingOrder="0"/>
    </xf>
    <xf borderId="18" fillId="0" fontId="1" numFmtId="0" xfId="0" applyAlignment="1" applyBorder="1" applyFont="1">
      <alignment readingOrder="0"/>
    </xf>
    <xf borderId="21" fillId="0" fontId="1" numFmtId="0" xfId="0" applyBorder="1" applyFont="1"/>
    <xf borderId="0" fillId="0" fontId="25" numFmtId="0" xfId="0" applyAlignment="1" applyFont="1">
      <alignment horizontal="center" readingOrder="0" shrinkToFit="0" vertical="bottom" wrapText="1"/>
    </xf>
    <xf borderId="0" fillId="0" fontId="26" numFmtId="0" xfId="0" applyAlignment="1" applyFont="1">
      <alignment horizontal="center" shrinkToFit="0" vertical="bottom" wrapText="1"/>
    </xf>
    <xf borderId="0" fillId="0" fontId="22" numFmtId="11" xfId="0" applyAlignment="1" applyFont="1" applyNumberFormat="1">
      <alignment horizontal="center" readingOrder="0"/>
    </xf>
    <xf borderId="0" fillId="0" fontId="25" numFmtId="164" xfId="0" applyAlignment="1" applyFont="1" applyNumberFormat="1">
      <alignment horizontal="center" readingOrder="0" vertical="bottom"/>
    </xf>
    <xf borderId="0" fillId="0" fontId="25" numFmtId="0" xfId="0" applyAlignment="1" applyFont="1">
      <alignment horizontal="center" shrinkToFit="0" vertical="bottom" wrapText="1"/>
    </xf>
    <xf borderId="0" fillId="0" fontId="1" numFmtId="4" xfId="0" applyAlignment="1" applyFont="1" applyNumberFormat="1">
      <alignment horizontal="center" readingOrder="0"/>
    </xf>
    <xf borderId="0" fillId="7" fontId="1" numFmtId="0" xfId="0" applyAlignment="1" applyFont="1">
      <alignment horizontal="center" readingOrder="0"/>
    </xf>
    <xf borderId="0" fillId="0" fontId="28" numFmtId="0" xfId="0" applyAlignment="1" applyFont="1">
      <alignment horizontal="center"/>
    </xf>
    <xf borderId="0" fillId="3" fontId="23" numFmtId="0" xfId="0" applyAlignment="1" applyFont="1">
      <alignment horizontal="right" readingOrder="0"/>
    </xf>
    <xf borderId="0" fillId="0" fontId="25" numFmtId="164" xfId="0" applyAlignment="1" applyFont="1" applyNumberFormat="1">
      <alignment horizontal="center" vertical="bottom"/>
    </xf>
    <xf borderId="0" fillId="0" fontId="35" numFmtId="0" xfId="0" applyAlignment="1" applyFont="1">
      <alignment horizontal="center" readingOrder="0" shrinkToFit="0" vertical="bottom" wrapText="1"/>
    </xf>
    <xf borderId="0" fillId="0" fontId="36" numFmtId="0" xfId="0" applyAlignment="1" applyFont="1">
      <alignment horizontal="center"/>
    </xf>
    <xf borderId="0" fillId="2" fontId="10" numFmtId="0" xfId="0" applyAlignment="1" applyFont="1">
      <alignment horizontal="center" readingOrder="0"/>
    </xf>
    <xf borderId="32" fillId="0" fontId="1" numFmtId="0" xfId="0" applyBorder="1" applyFont="1"/>
    <xf borderId="0" fillId="0" fontId="35" numFmtId="0" xfId="0" applyAlignment="1" applyFont="1">
      <alignment readingOrder="0"/>
    </xf>
    <xf borderId="0" fillId="0" fontId="19" numFmtId="4" xfId="0" applyAlignment="1" applyFont="1" applyNumberFormat="1">
      <alignment vertical="bottom"/>
    </xf>
    <xf borderId="0" fillId="2" fontId="1" numFmtId="0" xfId="0" applyAlignment="1" applyFont="1">
      <alignment horizontal="center" readingOrder="0" shrinkToFit="0" wrapText="1"/>
    </xf>
    <xf borderId="0" fillId="2" fontId="35" numFmtId="0" xfId="0" applyAlignment="1" applyFont="1">
      <alignment horizontal="center" readingOrder="0" shrinkToFit="0" wrapText="1"/>
    </xf>
    <xf borderId="0" fillId="0" fontId="35" numFmtId="0" xfId="0" applyAlignment="1" applyFont="1">
      <alignment horizontal="center"/>
    </xf>
    <xf borderId="0" fillId="0" fontId="1" numFmtId="0" xfId="0" applyAlignment="1" applyFont="1">
      <alignment horizontal="center" readingOrder="0"/>
    </xf>
    <xf borderId="0" fillId="0" fontId="19" numFmtId="4" xfId="0" applyAlignment="1" applyFont="1" applyNumberFormat="1">
      <alignment horizontal="center" vertical="bottom"/>
    </xf>
    <xf borderId="0" fillId="18" fontId="37" numFmtId="0" xfId="0" applyAlignment="1" applyFill="1" applyFont="1">
      <alignment readingOrder="0"/>
    </xf>
    <xf borderId="0" fillId="0" fontId="8" numFmtId="0" xfId="0" applyAlignment="1" applyFont="1">
      <alignment horizontal="left"/>
    </xf>
    <xf borderId="0" fillId="0" fontId="9" numFmtId="0" xfId="0" applyAlignment="1" applyFont="1">
      <alignment horizontal="center" readingOrder="0"/>
    </xf>
    <xf borderId="0" fillId="0" fontId="9" numFmtId="0" xfId="0" applyAlignment="1" applyFont="1">
      <alignment horizontal="center"/>
    </xf>
    <xf borderId="0" fillId="0" fontId="36" numFmtId="0" xfId="0" applyAlignment="1" applyFont="1">
      <alignment horizontal="center"/>
    </xf>
    <xf borderId="0" fillId="0" fontId="20" numFmtId="0" xfId="0" applyAlignment="1" applyFont="1">
      <alignment horizontal="center"/>
    </xf>
    <xf borderId="0" fillId="0" fontId="19" numFmtId="164" xfId="0" applyAlignment="1" applyFont="1" applyNumberFormat="1">
      <alignment horizontal="right" vertical="bottom"/>
    </xf>
    <xf borderId="0" fillId="0" fontId="19" numFmtId="164" xfId="0" applyAlignment="1" applyFont="1" applyNumberFormat="1">
      <alignment horizontal="right" vertical="bottom"/>
    </xf>
    <xf borderId="0" fillId="0" fontId="19" numFmtId="164" xfId="0" applyAlignment="1" applyFont="1" applyNumberFormat="1">
      <alignment horizontal="right" readingOrder="0" vertical="bottom"/>
    </xf>
    <xf borderId="0" fillId="0" fontId="8" numFmtId="0" xfId="0" applyAlignment="1" applyFont="1">
      <alignment horizontal="center"/>
    </xf>
    <xf borderId="21" fillId="2" fontId="1" numFmtId="0" xfId="0" applyAlignment="1" applyBorder="1" applyFont="1">
      <alignment horizontal="center" readingOrder="0" shrinkToFit="0" wrapText="1"/>
    </xf>
    <xf borderId="24" fillId="0" fontId="1" numFmtId="0" xfId="0" applyAlignment="1" applyBorder="1" applyFont="1">
      <alignment horizontal="center"/>
    </xf>
    <xf borderId="32" fillId="0" fontId="1" numFmtId="0" xfId="0" applyAlignment="1" applyBorder="1" applyFont="1">
      <alignment horizontal="center" readingOrder="0"/>
    </xf>
    <xf borderId="0" fillId="0" fontId="38" numFmtId="0" xfId="0" applyAlignment="1" applyFont="1">
      <alignment horizontal="center" readingOrder="0"/>
    </xf>
    <xf borderId="0" fillId="0" fontId="38" numFmtId="0" xfId="0" applyAlignment="1" applyFont="1">
      <alignment readingOrder="0"/>
    </xf>
    <xf borderId="0" fillId="2" fontId="1" numFmtId="0" xfId="0" applyAlignment="1" applyFont="1">
      <alignment readingOrder="0"/>
    </xf>
    <xf borderId="20" fillId="7" fontId="1" numFmtId="0" xfId="0" applyAlignment="1" applyBorder="1" applyFont="1">
      <alignment readingOrder="0"/>
    </xf>
    <xf borderId="18" fillId="7" fontId="1" numFmtId="0" xfId="0" applyAlignment="1" applyBorder="1" applyFont="1">
      <alignment readingOrder="0"/>
    </xf>
    <xf borderId="21" fillId="7" fontId="1" numFmtId="0" xfId="0" applyBorder="1" applyFont="1"/>
    <xf borderId="0" fillId="19" fontId="1" numFmtId="0" xfId="0" applyAlignment="1" applyFill="1" applyFont="1">
      <alignment readingOrder="0"/>
    </xf>
    <xf borderId="16" fillId="7" fontId="1" numFmtId="0" xfId="0" applyAlignment="1" applyBorder="1" applyFont="1">
      <alignment readingOrder="0"/>
    </xf>
    <xf borderId="0" fillId="7" fontId="1" numFmtId="0" xfId="0" applyFont="1"/>
    <xf borderId="0" fillId="7" fontId="39" numFmtId="0" xfId="0" applyAlignment="1" applyFont="1">
      <alignment horizontal="center" readingOrder="0" vertical="bottom"/>
    </xf>
    <xf borderId="0" fillId="7" fontId="39" numFmtId="0" xfId="0" applyAlignment="1" applyFont="1">
      <alignment horizontal="center" vertical="bottom"/>
    </xf>
    <xf borderId="0" fillId="7" fontId="1" numFmtId="0" xfId="0" applyAlignment="1" applyFont="1">
      <alignment readingOrder="0"/>
    </xf>
    <xf borderId="24" fillId="7" fontId="1" numFmtId="0" xfId="0" applyBorder="1" applyFont="1"/>
    <xf borderId="0" fillId="19" fontId="1" numFmtId="0" xfId="0" applyFont="1"/>
    <xf borderId="0" fillId="0" fontId="40" numFmtId="0" xfId="0" applyAlignment="1" applyFont="1">
      <alignment readingOrder="0"/>
    </xf>
    <xf borderId="16" fillId="7" fontId="1" numFmtId="0" xfId="0" applyBorder="1" applyFont="1"/>
    <xf borderId="0" fillId="0" fontId="40" numFmtId="0" xfId="0" applyFont="1"/>
    <xf borderId="24" fillId="7" fontId="1" numFmtId="0" xfId="0" applyAlignment="1" applyBorder="1" applyFont="1">
      <alignment readingOrder="0"/>
    </xf>
    <xf borderId="16" fillId="7" fontId="7" numFmtId="0" xfId="0" applyAlignment="1" applyBorder="1" applyFont="1">
      <alignment horizontal="left" readingOrder="0"/>
    </xf>
    <xf borderId="31" fillId="7" fontId="1" numFmtId="0" xfId="0" applyBorder="1" applyFont="1"/>
    <xf borderId="28" fillId="7" fontId="1" numFmtId="0" xfId="0" applyBorder="1" applyFont="1"/>
    <xf borderId="32" fillId="7" fontId="1" numFmtId="0" xfId="0" applyAlignment="1" applyBorder="1" applyFont="1">
      <alignment readingOrder="0"/>
    </xf>
    <xf borderId="20" fillId="5" fontId="7" numFmtId="0" xfId="0" applyAlignment="1" applyBorder="1" applyFont="1">
      <alignment horizontal="left" readingOrder="0"/>
    </xf>
    <xf borderId="18" fillId="5" fontId="1" numFmtId="0" xfId="0" applyAlignment="1" applyBorder="1" applyFont="1">
      <alignment readingOrder="0"/>
    </xf>
    <xf borderId="21" fillId="5" fontId="1" numFmtId="0" xfId="0" applyBorder="1" applyFont="1"/>
    <xf borderId="16" fillId="5" fontId="1" numFmtId="0" xfId="0" applyAlignment="1" applyBorder="1" applyFont="1">
      <alignment readingOrder="0"/>
    </xf>
    <xf borderId="0" fillId="5" fontId="1" numFmtId="0" xfId="0" applyFont="1"/>
    <xf borderId="0" fillId="5" fontId="1" numFmtId="0" xfId="0" applyAlignment="1" applyFont="1">
      <alignment readingOrder="0"/>
    </xf>
    <xf borderId="0" fillId="5" fontId="39" numFmtId="0" xfId="0" applyAlignment="1" applyFont="1">
      <alignment horizontal="center" readingOrder="0" vertical="bottom"/>
    </xf>
    <xf borderId="0" fillId="5" fontId="39" numFmtId="0" xfId="0" applyAlignment="1" applyFont="1">
      <alignment horizontal="center" vertical="bottom"/>
    </xf>
    <xf borderId="24" fillId="5" fontId="1" numFmtId="0" xfId="0" applyBorder="1" applyFont="1"/>
    <xf borderId="16" fillId="5" fontId="1" numFmtId="0" xfId="0" applyBorder="1" applyFont="1"/>
    <xf borderId="24" fillId="5" fontId="1" numFmtId="0" xfId="0" applyAlignment="1" applyBorder="1" applyFont="1">
      <alignment readingOrder="0"/>
    </xf>
    <xf borderId="16" fillId="5" fontId="7" numFmtId="0" xfId="0" applyAlignment="1" applyBorder="1" applyFont="1">
      <alignment horizontal="left" readingOrder="0"/>
    </xf>
    <xf borderId="31" fillId="5" fontId="1" numFmtId="0" xfId="0" applyBorder="1" applyFont="1"/>
    <xf borderId="28" fillId="5" fontId="1" numFmtId="0" xfId="0" applyBorder="1" applyFont="1"/>
    <xf borderId="32" fillId="5" fontId="1" numFmtId="0" xfId="0" applyAlignment="1" applyBorder="1" applyFont="1">
      <alignment readingOrder="0"/>
    </xf>
    <xf borderId="20" fillId="20" fontId="7" numFmtId="0" xfId="0" applyAlignment="1" applyBorder="1" applyFill="1" applyFont="1">
      <alignment horizontal="left" readingOrder="0"/>
    </xf>
    <xf borderId="18" fillId="20" fontId="1" numFmtId="0" xfId="0" applyAlignment="1" applyBorder="1" applyFont="1">
      <alignment readingOrder="0"/>
    </xf>
    <xf borderId="21" fillId="20" fontId="1" numFmtId="0" xfId="0" applyBorder="1" applyFont="1"/>
    <xf borderId="16" fillId="20" fontId="1" numFmtId="0" xfId="0" applyAlignment="1" applyBorder="1" applyFont="1">
      <alignment readingOrder="0"/>
    </xf>
    <xf borderId="0" fillId="20" fontId="1" numFmtId="0" xfId="0" applyFont="1"/>
    <xf borderId="0" fillId="20" fontId="1" numFmtId="0" xfId="0" applyAlignment="1" applyFont="1">
      <alignment readingOrder="0"/>
    </xf>
    <xf borderId="0" fillId="20" fontId="39" numFmtId="0" xfId="0" applyAlignment="1" applyFont="1">
      <alignment horizontal="center" readingOrder="0" vertical="bottom"/>
    </xf>
    <xf borderId="0" fillId="20" fontId="39" numFmtId="0" xfId="0" applyAlignment="1" applyFont="1">
      <alignment horizontal="center" vertical="bottom"/>
    </xf>
    <xf borderId="24" fillId="20" fontId="1" numFmtId="0" xfId="0" applyBorder="1" applyFont="1"/>
    <xf borderId="0" fillId="3" fontId="41" numFmtId="0" xfId="0" applyAlignment="1" applyFont="1">
      <alignment horizontal="left" readingOrder="0"/>
    </xf>
    <xf borderId="16" fillId="20" fontId="1" numFmtId="0" xfId="0" applyBorder="1" applyFont="1"/>
    <xf borderId="24" fillId="20" fontId="1" numFmtId="0" xfId="0" applyAlignment="1" applyBorder="1" applyFont="1">
      <alignment readingOrder="0"/>
    </xf>
    <xf borderId="16" fillId="20" fontId="7" numFmtId="0" xfId="0" applyAlignment="1" applyBorder="1" applyFont="1">
      <alignment horizontal="left" readingOrder="0"/>
    </xf>
    <xf borderId="31" fillId="20" fontId="1" numFmtId="0" xfId="0" applyBorder="1" applyFont="1"/>
    <xf borderId="28" fillId="20" fontId="1" numFmtId="0" xfId="0" applyBorder="1" applyFont="1"/>
    <xf borderId="32" fillId="20" fontId="1" numFmtId="0" xfId="0" applyAlignment="1" applyBorder="1" applyFont="1">
      <alignment readingOrder="0"/>
    </xf>
    <xf borderId="41" fillId="0" fontId="1" numFmtId="0" xfId="0" applyBorder="1" applyFont="1"/>
    <xf borderId="41" fillId="0" fontId="6" numFmtId="0" xfId="0" applyBorder="1" applyFont="1"/>
    <xf borderId="42" fillId="0" fontId="1" numFmtId="0" xfId="0" applyBorder="1" applyFont="1"/>
    <xf borderId="42" fillId="0" fontId="6" numFmtId="0" xfId="0" applyBorder="1" applyFont="1"/>
    <xf borderId="0" fillId="7" fontId="7" numFmtId="0" xfId="0" applyAlignment="1" applyFont="1">
      <alignment horizontal="left" readingOrder="0"/>
    </xf>
    <xf borderId="0" fillId="3" fontId="42" numFmtId="0" xfId="0" applyAlignment="1" applyFont="1">
      <alignment horizontal="left" readingOrder="0"/>
    </xf>
    <xf borderId="18" fillId="7" fontId="7" numFmtId="0" xfId="0" applyAlignment="1" applyBorder="1" applyFont="1">
      <alignment horizontal="left" readingOrder="0"/>
    </xf>
    <xf borderId="0" fillId="0" fontId="20" numFmtId="0" xfId="0" applyAlignment="1" applyFont="1">
      <alignment horizontal="center" readingOrder="0" shrinkToFit="0" wrapText="1"/>
    </xf>
    <xf borderId="0" fillId="0" fontId="0" numFmtId="0" xfId="0" applyAlignment="1" applyFont="1">
      <alignment horizontal="center"/>
    </xf>
    <xf borderId="43" fillId="0" fontId="1" numFmtId="0" xfId="0" applyAlignment="1" applyBorder="1" applyFont="1">
      <alignment horizontal="center" readingOrder="0" shrinkToFit="0" wrapText="1"/>
    </xf>
    <xf borderId="22" fillId="2" fontId="1" numFmtId="0" xfId="0" applyAlignment="1" applyBorder="1" applyFont="1">
      <alignment horizontal="center" readingOrder="0" shrinkToFit="0" wrapText="1"/>
    </xf>
    <xf borderId="44" fillId="2" fontId="1" numFmtId="0" xfId="0" applyAlignment="1" applyBorder="1" applyFont="1">
      <alignment horizontal="center" readingOrder="0" shrinkToFit="0" wrapText="1"/>
    </xf>
    <xf borderId="22" fillId="16" fontId="1" numFmtId="0" xfId="0" applyAlignment="1" applyBorder="1" applyFont="1">
      <alignment horizontal="center" readingOrder="0" shrinkToFit="0" wrapText="1"/>
    </xf>
    <xf borderId="22" fillId="0" fontId="6" numFmtId="0" xfId="0" applyBorder="1" applyFont="1"/>
    <xf borderId="22" fillId="0" fontId="1" numFmtId="0" xfId="0" applyAlignment="1" applyBorder="1" applyFont="1">
      <alignment horizontal="center"/>
    </xf>
    <xf borderId="22" fillId="3" fontId="7" numFmtId="0" xfId="0" applyAlignment="1" applyBorder="1" applyFont="1">
      <alignment horizontal="center" readingOrder="0"/>
    </xf>
    <xf borderId="22" fillId="0" fontId="1" numFmtId="0" xfId="0" applyBorder="1" applyFont="1"/>
    <xf borderId="22" fillId="0" fontId="1" numFmtId="0" xfId="0" applyAlignment="1" applyBorder="1" applyFont="1">
      <alignment horizontal="center" readingOrder="0"/>
    </xf>
    <xf borderId="22" fillId="12" fontId="43" numFmtId="0" xfId="0" applyAlignment="1" applyBorder="1" applyFont="1">
      <alignment horizontal="center" readingOrder="0" shrinkToFit="0" wrapText="1"/>
    </xf>
    <xf borderId="22" fillId="10" fontId="1" numFmtId="0" xfId="0" applyAlignment="1" applyBorder="1" applyFont="1">
      <alignment horizontal="center"/>
    </xf>
    <xf borderId="22" fillId="0" fontId="1" numFmtId="0" xfId="0" applyAlignment="1" applyBorder="1" applyFont="1">
      <alignment readingOrder="0"/>
    </xf>
    <xf borderId="44" fillId="0" fontId="1" numFmtId="0" xfId="0" applyAlignment="1" applyBorder="1" applyFont="1">
      <alignment horizontal="center"/>
    </xf>
    <xf borderId="35" fillId="2" fontId="5" numFmtId="0" xfId="0" applyAlignment="1" applyBorder="1" applyFont="1">
      <alignment horizontal="center" readingOrder="0" shrinkToFit="0" wrapText="1"/>
    </xf>
    <xf borderId="45" fillId="0" fontId="1" numFmtId="0" xfId="0" applyAlignment="1" applyBorder="1" applyFont="1">
      <alignment horizontal="center" readingOrder="0" shrinkToFit="0" wrapText="1"/>
    </xf>
    <xf borderId="0" fillId="3" fontId="17" numFmtId="0" xfId="0" applyAlignment="1" applyFont="1">
      <alignment horizontal="center" readingOrder="0"/>
    </xf>
    <xf borderId="45" fillId="0" fontId="1" numFmtId="0" xfId="0" applyAlignment="1" applyBorder="1" applyFont="1">
      <alignment horizontal="center"/>
    </xf>
    <xf borderId="35" fillId="12" fontId="1" numFmtId="0" xfId="0" applyAlignment="1" applyBorder="1" applyFont="1">
      <alignment horizontal="center" readingOrder="0"/>
    </xf>
    <xf borderId="0" fillId="0" fontId="18" numFmtId="0" xfId="0" applyAlignment="1" applyFont="1">
      <alignment horizontal="center" readingOrder="0"/>
    </xf>
    <xf borderId="0" fillId="10" fontId="1" numFmtId="0" xfId="0" applyFont="1"/>
    <xf borderId="35" fillId="12" fontId="7" numFmtId="0" xfId="0" applyAlignment="1" applyBorder="1" applyFont="1">
      <alignment horizontal="center" readingOrder="0"/>
    </xf>
    <xf borderId="35" fillId="12" fontId="1" numFmtId="0" xfId="0" applyAlignment="1" applyBorder="1" applyFont="1">
      <alignment horizontal="center" readingOrder="0" shrinkToFit="0" wrapText="1"/>
    </xf>
    <xf borderId="45" fillId="2" fontId="1" numFmtId="0" xfId="0" applyAlignment="1" applyBorder="1" applyFont="1">
      <alignment horizontal="center" readingOrder="0"/>
    </xf>
    <xf borderId="0" fillId="0" fontId="1" numFmtId="0" xfId="0" applyAlignment="1" applyFont="1">
      <alignment shrinkToFit="0" wrapText="1"/>
    </xf>
    <xf borderId="45" fillId="2" fontId="1" numFmtId="0" xfId="0" applyAlignment="1" applyBorder="1" applyFont="1">
      <alignment horizontal="center" readingOrder="0" shrinkToFit="0" wrapText="1"/>
    </xf>
    <xf borderId="0" fillId="0" fontId="11" numFmtId="0" xfId="0" applyAlignment="1" applyFont="1">
      <alignment horizontal="center" readingOrder="0" shrinkToFit="0" wrapText="1"/>
    </xf>
    <xf borderId="45" fillId="2" fontId="1" numFmtId="0" xfId="0" applyAlignment="1" applyBorder="1" applyFont="1">
      <alignment horizontal="center"/>
    </xf>
    <xf borderId="0" fillId="0" fontId="1" numFmtId="4" xfId="0" applyAlignment="1" applyFont="1" applyNumberFormat="1">
      <alignment horizontal="center" shrinkToFit="0" wrapText="1"/>
    </xf>
    <xf borderId="39" fillId="17" fontId="1" numFmtId="0" xfId="0" applyAlignment="1" applyBorder="1" applyFont="1">
      <alignment horizontal="center" readingOrder="0"/>
    </xf>
    <xf borderId="33" fillId="0" fontId="1" numFmtId="0" xfId="0" applyAlignment="1" applyBorder="1" applyFont="1">
      <alignment horizontal="center"/>
    </xf>
    <xf borderId="46" fillId="0" fontId="1" numFmtId="0" xfId="0" applyAlignment="1" applyBorder="1" applyFont="1">
      <alignment horizontal="center"/>
    </xf>
    <xf borderId="33" fillId="0" fontId="1" numFmtId="0" xfId="0" applyAlignment="1" applyBorder="1" applyFont="1">
      <alignment horizontal="center" readingOrder="0"/>
    </xf>
    <xf borderId="33" fillId="0" fontId="1" numFmtId="4" xfId="0" applyAlignment="1" applyBorder="1" applyFont="1" applyNumberFormat="1">
      <alignment horizontal="center"/>
    </xf>
    <xf borderId="33" fillId="0" fontId="1" numFmtId="0" xfId="0" applyBorder="1" applyFont="1"/>
    <xf borderId="33" fillId="10" fontId="1" numFmtId="0" xfId="0" applyAlignment="1" applyBorder="1" applyFont="1">
      <alignment horizontal="center"/>
    </xf>
    <xf borderId="0" fillId="3" fontId="44" numFmtId="0" xfId="0" applyAlignment="1" applyFont="1">
      <alignment horizontal="left" readingOrder="0"/>
    </xf>
    <xf borderId="0" fillId="0" fontId="45" numFmtId="0" xfId="0" applyFont="1"/>
    <xf borderId="0" fillId="21" fontId="20" numFmtId="0" xfId="0" applyAlignment="1" applyFill="1" applyFont="1">
      <alignment readingOrder="0"/>
    </xf>
    <xf borderId="0" fillId="21" fontId="1" numFmtId="0" xfId="0" applyFont="1"/>
    <xf borderId="0" fillId="21" fontId="45"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Tgz1ZGrC7pbiQXnx_oNP9yIj6969ZeLJ/edit?usp=sharing&amp;ouid=101877306419322680904&amp;rtpof=true&amp;sd=true" TargetMode="External"/><Relationship Id="rId3" Type="http://schemas.openxmlformats.org/officeDocument/2006/relationships/hyperlink" Target="https://agenda.infn.it/event/30323/contributions/163645/attachments/88407/118398/DarkSide-20k%20Titanium%20project%20-%20Italy%20Russia%20meeting%20Feb%2016th%202022.pdf"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4.0"/>
    <col customWidth="1" min="2" max="2" width="26.0"/>
    <col customWidth="1" min="3" max="9" width="16.88"/>
    <col customWidth="1" min="10" max="10" width="15.13"/>
    <col customWidth="1" min="11" max="11" width="15.25"/>
    <col customWidth="1" min="12" max="14" width="13.38"/>
    <col customWidth="1" min="15" max="15" width="20.88"/>
    <col customWidth="1" min="16" max="16" width="23.5"/>
    <col customWidth="1" min="17" max="17" width="12.13"/>
    <col customWidth="1" min="18" max="18" width="11.5"/>
    <col customWidth="1" min="19" max="19" width="11.63"/>
    <col customWidth="1" min="20" max="20" width="21.13"/>
    <col customWidth="1" min="21" max="22" width="16.0"/>
    <col customWidth="1" min="23" max="23" width="18.88"/>
    <col customWidth="1" min="24" max="24" width="20.63"/>
    <col customWidth="1" min="25" max="26" width="20.13"/>
    <col customWidth="1" min="27" max="27" width="23.25"/>
    <col customWidth="1" min="28" max="28" width="18.63"/>
    <col customWidth="1" min="29" max="29" width="20.25"/>
    <col customWidth="1" min="30" max="30" width="22.75"/>
    <col customWidth="1" min="31" max="31" width="19.63"/>
    <col customWidth="1" min="32" max="33" width="22.13"/>
    <col customWidth="1" min="34" max="38" width="20.25"/>
    <col customWidth="1" min="39" max="40" width="21.75"/>
    <col customWidth="1" min="41" max="41" width="24.25"/>
    <col customWidth="1" min="42" max="43" width="27.0"/>
    <col customWidth="1" min="44" max="45" width="25.75"/>
    <col customWidth="1" min="46" max="46" width="40.13"/>
    <col customWidth="1" min="47" max="47" width="30.25"/>
    <col customWidth="1" min="48" max="48" width="25.75"/>
    <col customWidth="1" min="49" max="49" width="40.75"/>
    <col customWidth="1" min="50" max="50" width="30.63"/>
    <col customWidth="1" min="51" max="51" width="43.63"/>
    <col customWidth="1" min="52" max="52" width="18.88"/>
    <col customWidth="1" min="53" max="53" width="18.13"/>
    <col customWidth="1" min="54" max="54" width="17.5"/>
    <col customWidth="1" min="58" max="58" width="28.38"/>
  </cols>
  <sheetData>
    <row r="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row>
    <row r="3">
      <c r="A3" s="3"/>
      <c r="B3" s="4"/>
      <c r="C3" s="5"/>
      <c r="D3" s="5"/>
      <c r="E3" s="5"/>
      <c r="F3" s="5"/>
      <c r="G3" s="5"/>
      <c r="H3" s="5"/>
      <c r="I3" s="5" t="s">
        <v>0</v>
      </c>
      <c r="P3" s="4"/>
      <c r="Q3" s="4"/>
      <c r="R3" s="4"/>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6"/>
      <c r="BE3" s="2"/>
      <c r="BF3" s="2"/>
      <c r="BG3" s="7"/>
      <c r="BH3" s="2"/>
      <c r="BI3" s="2"/>
      <c r="BJ3" s="2"/>
      <c r="BK3" s="2"/>
      <c r="BL3" s="2"/>
    </row>
    <row r="4" ht="41.25" customHeight="1">
      <c r="A4" s="8"/>
      <c r="B4" s="9" t="s">
        <v>1</v>
      </c>
      <c r="C4" s="10" t="s">
        <v>2</v>
      </c>
      <c r="D4" s="11"/>
      <c r="E4" s="11"/>
      <c r="F4" s="11"/>
      <c r="G4" s="11"/>
      <c r="H4" s="12"/>
      <c r="I4" s="13" t="s">
        <v>3</v>
      </c>
      <c r="J4" s="14"/>
      <c r="K4" s="14"/>
      <c r="L4" s="14"/>
      <c r="M4" s="14"/>
      <c r="N4" s="14"/>
      <c r="O4" s="15"/>
      <c r="P4" s="16" t="s">
        <v>4</v>
      </c>
      <c r="Q4" s="17" t="s">
        <v>5</v>
      </c>
      <c r="R4" s="18"/>
      <c r="S4" s="19"/>
      <c r="T4" s="20" t="s">
        <v>6</v>
      </c>
      <c r="U4" s="21"/>
      <c r="V4" s="22"/>
      <c r="W4" s="23" t="s">
        <v>7</v>
      </c>
      <c r="X4" s="24"/>
      <c r="Y4" s="24"/>
      <c r="Z4" s="24"/>
      <c r="AA4" s="24"/>
      <c r="AB4" s="24"/>
      <c r="AC4" s="24"/>
      <c r="AD4" s="24"/>
      <c r="AE4" s="24"/>
      <c r="AF4" s="24"/>
      <c r="AG4" s="24"/>
      <c r="AH4" s="24"/>
      <c r="AI4" s="23"/>
      <c r="AJ4" s="23"/>
      <c r="AK4" s="23"/>
      <c r="AL4" s="23"/>
      <c r="AM4" s="25"/>
      <c r="AN4" s="23" t="s">
        <v>8</v>
      </c>
      <c r="AO4" s="24"/>
      <c r="AP4" s="26"/>
      <c r="AQ4" s="27"/>
      <c r="AR4" s="28" t="s">
        <v>9</v>
      </c>
      <c r="AS4" s="29" t="s">
        <v>10</v>
      </c>
      <c r="AT4" s="30" t="s">
        <v>11</v>
      </c>
      <c r="AU4" s="18"/>
      <c r="AV4" s="19"/>
      <c r="AW4" s="31" t="s">
        <v>12</v>
      </c>
      <c r="AX4" s="18"/>
      <c r="AY4" s="19"/>
      <c r="BF4" s="6"/>
      <c r="BG4" s="7"/>
      <c r="BH4" s="7"/>
      <c r="BI4" s="7"/>
      <c r="BJ4" s="2"/>
      <c r="BK4" s="2"/>
      <c r="BL4" s="2"/>
    </row>
    <row r="5" ht="40.5" customHeight="1">
      <c r="A5" s="32"/>
      <c r="B5" s="33" t="s">
        <v>13</v>
      </c>
      <c r="C5" s="34"/>
      <c r="D5" s="35" t="s">
        <v>14</v>
      </c>
      <c r="E5" s="35" t="s">
        <v>15</v>
      </c>
      <c r="F5" s="35" t="s">
        <v>16</v>
      </c>
      <c r="G5" s="36" t="s">
        <v>17</v>
      </c>
      <c r="H5" s="37" t="s">
        <v>18</v>
      </c>
      <c r="I5" s="38" t="s">
        <v>19</v>
      </c>
      <c r="J5" s="38" t="s">
        <v>20</v>
      </c>
      <c r="K5" s="38" t="s">
        <v>21</v>
      </c>
      <c r="L5" s="38" t="s">
        <v>22</v>
      </c>
      <c r="M5" s="38" t="s">
        <v>23</v>
      </c>
      <c r="N5" s="38" t="s">
        <v>24</v>
      </c>
      <c r="O5" s="38" t="s">
        <v>25</v>
      </c>
      <c r="P5" s="39" t="s">
        <v>26</v>
      </c>
      <c r="Q5" s="40" t="s">
        <v>27</v>
      </c>
      <c r="R5" s="36" t="s">
        <v>28</v>
      </c>
      <c r="S5" s="41" t="s">
        <v>29</v>
      </c>
      <c r="T5" s="40" t="s">
        <v>30</v>
      </c>
      <c r="U5" s="42"/>
      <c r="V5" s="36" t="s">
        <v>31</v>
      </c>
      <c r="W5" s="43" t="s">
        <v>32</v>
      </c>
      <c r="Y5" s="36" t="s">
        <v>33</v>
      </c>
      <c r="Z5" s="36" t="s">
        <v>34</v>
      </c>
      <c r="AA5" s="36" t="s">
        <v>35</v>
      </c>
      <c r="AB5" s="36" t="s">
        <v>36</v>
      </c>
      <c r="AC5" s="36" t="s">
        <v>33</v>
      </c>
      <c r="AD5" s="44" t="s">
        <v>37</v>
      </c>
      <c r="AH5" s="36" t="s">
        <v>33</v>
      </c>
      <c r="AI5" s="45" t="s">
        <v>38</v>
      </c>
      <c r="AJ5" s="6"/>
      <c r="AK5" s="6"/>
      <c r="AL5" s="6"/>
      <c r="AM5" s="46" t="s">
        <v>39</v>
      </c>
      <c r="AN5" s="36" t="s">
        <v>38</v>
      </c>
      <c r="AO5" s="41" t="s">
        <v>40</v>
      </c>
      <c r="AP5" s="47"/>
      <c r="AQ5" s="47"/>
      <c r="AR5" s="48"/>
      <c r="AS5" s="49"/>
      <c r="AT5" s="40" t="s">
        <v>41</v>
      </c>
      <c r="AU5" s="36" t="s">
        <v>42</v>
      </c>
      <c r="AV5" s="41" t="s">
        <v>43</v>
      </c>
      <c r="AW5" s="50" t="s">
        <v>44</v>
      </c>
      <c r="AX5" s="51" t="s">
        <v>45</v>
      </c>
      <c r="AY5" s="52" t="s">
        <v>43</v>
      </c>
      <c r="BF5" s="2"/>
      <c r="BG5" s="2"/>
      <c r="BH5" s="2"/>
      <c r="BI5" s="2"/>
      <c r="BJ5" s="2"/>
      <c r="BK5" s="2"/>
      <c r="BL5" s="2"/>
    </row>
    <row r="6">
      <c r="A6" s="53"/>
      <c r="B6" s="54" t="s">
        <v>46</v>
      </c>
      <c r="C6" s="55" t="s">
        <v>47</v>
      </c>
      <c r="D6" s="2">
        <v>8.54</v>
      </c>
      <c r="E6" s="2">
        <v>8.54</v>
      </c>
      <c r="F6" s="7">
        <v>7.88</v>
      </c>
      <c r="G6" s="2">
        <f t="shared" ref="G6:G8" si="1">D6*E6*F6</f>
        <v>574.701008</v>
      </c>
      <c r="H6" s="56">
        <f>G6</f>
        <v>574.701008</v>
      </c>
      <c r="I6" s="6">
        <v>35.63</v>
      </c>
      <c r="J6" s="57" t="s">
        <v>48</v>
      </c>
      <c r="K6" s="57" t="s">
        <v>48</v>
      </c>
      <c r="L6" s="6">
        <v>46.59</v>
      </c>
      <c r="M6" s="6"/>
      <c r="N6" s="6" t="s">
        <v>48</v>
      </c>
      <c r="O6" s="6" t="s">
        <v>48</v>
      </c>
      <c r="P6" s="58">
        <v>71.57</v>
      </c>
      <c r="Q6" s="59">
        <v>72.37</v>
      </c>
      <c r="R6" s="6" t="s">
        <v>48</v>
      </c>
      <c r="S6" s="60" t="s">
        <v>48</v>
      </c>
      <c r="T6" s="61">
        <v>574.7</v>
      </c>
      <c r="U6" s="62"/>
      <c r="V6" s="7">
        <f>((427.28/100)*2)*((394.88/100)*2)*((427.28/100)*2)</f>
        <v>576.7402415</v>
      </c>
      <c r="W6" s="6">
        <f>((427.4/100)*2)*((395/100)*2)*((427.4/100)*2)</f>
        <v>577.2396016</v>
      </c>
      <c r="Y6" s="7">
        <f>((428.6/100)*2)*((396.2/100)*2)*((428.6/100)*2)</f>
        <v>582.249054</v>
      </c>
      <c r="Z6" s="63">
        <f>((466.22/100)*2)*((433.82/100)*2)*((466.22/100)*2)</f>
        <v>754.364699</v>
      </c>
      <c r="AA6" s="7">
        <f>((467.4/100)*2)*((435/100)*2)*((467.4/100)*2)</f>
        <v>760.2504048</v>
      </c>
      <c r="AB6" s="7">
        <f>((467.42/100)*2)*((435.02/100)*2)*((467.42/100)*2)</f>
        <v>760.3504253</v>
      </c>
      <c r="AC6" s="7">
        <f>((468.6/100)*2)*((436.2/100)*2)*((468.6/100)*2)</f>
        <v>766.267166</v>
      </c>
      <c r="AD6" s="7">
        <f>((506.2/100)*2)*((473.8/100)*2)*((506.2/100)*2)</f>
        <v>971.246183</v>
      </c>
      <c r="AH6" s="7">
        <f>((507.4/100)*2)*((475/100)*2)*((507.4/100)*2)</f>
        <v>978.328088</v>
      </c>
      <c r="AI6" s="64">
        <f>((508.4/100)*2)*((476/100)*2)*((508.4/100)*2)</f>
        <v>984.2558925</v>
      </c>
      <c r="AJ6" s="64"/>
      <c r="AK6" s="64"/>
      <c r="AL6" s="7"/>
      <c r="AM6" s="65">
        <f>AI6-T6</f>
        <v>409.5558925</v>
      </c>
      <c r="AN6" s="7">
        <v>1156.135</v>
      </c>
      <c r="AO6" s="66">
        <f>((570.2/100)*2)*((537.8/100)*2)*((570.2/100)*2)</f>
        <v>1398.830879</v>
      </c>
      <c r="AP6" s="47"/>
      <c r="AQ6" s="47"/>
      <c r="AR6" s="67">
        <f>AO6-AI6</f>
        <v>414.5749868</v>
      </c>
      <c r="AS6" s="68">
        <f>SUM(AR6,AM6,T6)</f>
        <v>1398.830879</v>
      </c>
      <c r="AT6" s="69">
        <v>6468.0</v>
      </c>
      <c r="AU6" s="7">
        <v>4849.05</v>
      </c>
      <c r="AV6" s="66">
        <f>sum(AT11,AU6)</f>
        <v>9918.219121</v>
      </c>
      <c r="AW6" s="69">
        <v>5341.2</v>
      </c>
      <c r="AX6" s="7">
        <v>10980.93</v>
      </c>
      <c r="AY6" s="70">
        <f>sum(AW6:AX6)</f>
        <v>16322.13</v>
      </c>
      <c r="BF6" s="2"/>
      <c r="BG6" s="2"/>
      <c r="BH6" s="2"/>
      <c r="BI6" s="2"/>
      <c r="BJ6" s="2"/>
      <c r="BK6" s="2"/>
      <c r="BL6" s="2"/>
    </row>
    <row r="7">
      <c r="A7" s="32"/>
      <c r="B7" s="33" t="s">
        <v>49</v>
      </c>
      <c r="C7" s="55" t="s">
        <v>50</v>
      </c>
      <c r="D7" s="2">
        <v>10.148</v>
      </c>
      <c r="E7" s="2">
        <v>10.148</v>
      </c>
      <c r="F7" s="2">
        <v>9.5</v>
      </c>
      <c r="G7" s="2">
        <f t="shared" si="1"/>
        <v>978.328088</v>
      </c>
      <c r="H7" s="56">
        <f t="shared" ref="H7:H8" si="2">G7-G6</f>
        <v>403.62708</v>
      </c>
      <c r="I7" s="6" t="s">
        <v>51</v>
      </c>
      <c r="J7" s="6" t="s">
        <v>52</v>
      </c>
      <c r="K7" s="57" t="s">
        <v>52</v>
      </c>
      <c r="L7" s="6" t="s">
        <v>53</v>
      </c>
      <c r="M7" s="6" t="s">
        <v>54</v>
      </c>
      <c r="N7" s="6" t="s">
        <v>55</v>
      </c>
      <c r="O7" s="57" t="s">
        <v>56</v>
      </c>
      <c r="P7" s="58" t="s">
        <v>57</v>
      </c>
      <c r="Q7" s="61" t="s">
        <v>58</v>
      </c>
      <c r="R7" s="57" t="s">
        <v>59</v>
      </c>
      <c r="S7" s="71" t="s">
        <v>60</v>
      </c>
      <c r="T7" s="61" t="s">
        <v>61</v>
      </c>
      <c r="U7" s="58"/>
      <c r="V7" s="6" t="s">
        <v>62</v>
      </c>
      <c r="W7" s="6" t="s">
        <v>63</v>
      </c>
      <c r="Y7" s="7" t="s">
        <v>64</v>
      </c>
      <c r="Z7" s="6" t="s">
        <v>65</v>
      </c>
      <c r="AA7" s="7" t="s">
        <v>66</v>
      </c>
      <c r="AB7" s="6" t="s">
        <v>67</v>
      </c>
      <c r="AC7" s="7" t="s">
        <v>68</v>
      </c>
      <c r="AD7" s="7" t="s">
        <v>69</v>
      </c>
      <c r="AH7" s="7" t="s">
        <v>70</v>
      </c>
      <c r="AI7" s="7" t="s">
        <v>71</v>
      </c>
      <c r="AJ7" s="7"/>
      <c r="AK7" s="7"/>
      <c r="AL7" s="7"/>
      <c r="AM7" s="65"/>
      <c r="AN7" s="6" t="s">
        <v>72</v>
      </c>
      <c r="AO7" s="66" t="s">
        <v>73</v>
      </c>
      <c r="AP7" s="47"/>
      <c r="AQ7" s="47"/>
      <c r="AR7" s="67"/>
      <c r="AS7" s="68" t="s">
        <v>73</v>
      </c>
      <c r="AT7" s="69" t="s">
        <v>74</v>
      </c>
      <c r="AU7" s="7" t="s">
        <v>75</v>
      </c>
      <c r="AV7" s="66" t="s">
        <v>76</v>
      </c>
      <c r="AW7" s="69" t="s">
        <v>77</v>
      </c>
      <c r="AX7" s="7" t="s">
        <v>78</v>
      </c>
      <c r="AY7" s="70"/>
      <c r="BF7" s="2"/>
      <c r="BG7" s="2"/>
      <c r="BH7" s="2"/>
      <c r="BI7" s="2"/>
      <c r="BJ7" s="2"/>
      <c r="BK7" s="2"/>
      <c r="BL7" s="2"/>
    </row>
    <row r="8">
      <c r="A8" s="32"/>
      <c r="B8" s="33" t="s">
        <v>79</v>
      </c>
      <c r="C8" s="55" t="s">
        <v>80</v>
      </c>
      <c r="D8" s="7">
        <v>11.404</v>
      </c>
      <c r="E8" s="7">
        <v>10.756</v>
      </c>
      <c r="F8" s="7">
        <v>11.404</v>
      </c>
      <c r="G8" s="2">
        <f t="shared" si="1"/>
        <v>1398.830879</v>
      </c>
      <c r="H8" s="56">
        <f t="shared" si="2"/>
        <v>420.5027913</v>
      </c>
      <c r="I8" s="6" t="s">
        <v>81</v>
      </c>
      <c r="J8" s="6" t="s">
        <v>82</v>
      </c>
      <c r="K8" s="6" t="s">
        <v>83</v>
      </c>
      <c r="L8" s="6" t="s">
        <v>84</v>
      </c>
      <c r="M8" s="6"/>
      <c r="N8" s="6" t="s">
        <v>84</v>
      </c>
      <c r="O8" s="6" t="s">
        <v>84</v>
      </c>
      <c r="P8" s="62" t="s">
        <v>85</v>
      </c>
      <c r="Q8" s="61" t="s">
        <v>86</v>
      </c>
      <c r="R8" s="6" t="s">
        <v>86</v>
      </c>
      <c r="S8" s="60" t="s">
        <v>86</v>
      </c>
      <c r="T8" s="61" t="s">
        <v>87</v>
      </c>
      <c r="U8" s="62"/>
      <c r="V8" s="7" t="s">
        <v>88</v>
      </c>
      <c r="W8" s="6" t="s">
        <v>89</v>
      </c>
      <c r="Y8" s="6" t="s">
        <v>90</v>
      </c>
      <c r="Z8" s="7" t="s">
        <v>91</v>
      </c>
      <c r="AA8" s="7" t="s">
        <v>92</v>
      </c>
      <c r="AB8" s="7" t="s">
        <v>93</v>
      </c>
      <c r="AC8" s="7" t="s">
        <v>94</v>
      </c>
      <c r="AD8" s="7" t="s">
        <v>95</v>
      </c>
      <c r="AH8" s="7" t="s">
        <v>96</v>
      </c>
      <c r="AI8" s="7" t="s">
        <v>97</v>
      </c>
      <c r="AJ8" s="7"/>
      <c r="AK8" s="7"/>
      <c r="AL8" s="7"/>
      <c r="AM8" s="65"/>
      <c r="AN8" s="7" t="s">
        <v>98</v>
      </c>
      <c r="AO8" s="66" t="s">
        <v>99</v>
      </c>
      <c r="AP8" s="47"/>
      <c r="AQ8" s="47"/>
      <c r="AR8" s="67"/>
      <c r="AS8" s="68" t="s">
        <v>99</v>
      </c>
      <c r="AT8" s="69" t="s">
        <v>100</v>
      </c>
      <c r="AU8" s="6" t="s">
        <v>101</v>
      </c>
      <c r="AV8" s="66" t="s">
        <v>102</v>
      </c>
      <c r="AW8" s="69" t="s">
        <v>103</v>
      </c>
      <c r="AX8" s="7" t="s">
        <v>104</v>
      </c>
      <c r="AY8" s="70"/>
      <c r="BF8" s="2"/>
      <c r="BG8" s="2"/>
      <c r="BH8" s="2"/>
      <c r="BI8" s="2"/>
      <c r="BJ8" s="2"/>
      <c r="BK8" s="2"/>
      <c r="BL8" s="2"/>
    </row>
    <row r="9">
      <c r="A9" s="72"/>
      <c r="B9" s="73"/>
      <c r="C9" s="74"/>
      <c r="D9" s="32"/>
      <c r="E9" s="32"/>
      <c r="F9" s="32"/>
      <c r="G9" s="32"/>
      <c r="H9" s="75"/>
      <c r="I9" s="6"/>
      <c r="J9" s="6"/>
      <c r="K9" s="6"/>
      <c r="L9" s="6">
        <f>195*2</f>
        <v>390</v>
      </c>
      <c r="M9" s="6"/>
      <c r="N9" s="6"/>
      <c r="O9" s="6"/>
      <c r="P9" s="58"/>
      <c r="Q9" s="61"/>
      <c r="R9" s="6"/>
      <c r="S9" s="60"/>
      <c r="T9" s="61"/>
      <c r="U9" s="58"/>
      <c r="V9" s="6"/>
      <c r="W9" s="6"/>
      <c r="X9" s="6"/>
      <c r="Y9" s="6"/>
      <c r="Z9" s="6"/>
      <c r="AA9" s="6"/>
      <c r="AB9" s="6"/>
      <c r="AC9" s="6"/>
      <c r="AD9" s="6"/>
      <c r="AF9" s="6"/>
      <c r="AH9" s="6"/>
      <c r="AI9" s="6"/>
      <c r="AJ9" s="6"/>
      <c r="AK9" s="6"/>
      <c r="AL9" s="7"/>
      <c r="AM9" s="65"/>
      <c r="AN9" s="76"/>
      <c r="AO9" s="66"/>
      <c r="AP9" s="47"/>
      <c r="AQ9" s="47"/>
      <c r="AR9" s="67"/>
      <c r="AS9" s="77"/>
      <c r="AT9" s="61" t="s">
        <v>105</v>
      </c>
      <c r="AU9" s="57" t="s">
        <v>106</v>
      </c>
      <c r="AV9" s="66" t="s">
        <v>107</v>
      </c>
      <c r="AW9" s="61" t="s">
        <v>108</v>
      </c>
      <c r="AX9" s="6" t="s">
        <v>109</v>
      </c>
      <c r="AY9" s="60" t="s">
        <v>110</v>
      </c>
      <c r="AZ9" s="78"/>
      <c r="BA9" s="2"/>
      <c r="BB9" s="2"/>
      <c r="BC9" s="2"/>
      <c r="BD9" s="2"/>
      <c r="BF9" s="2"/>
      <c r="BG9" s="2"/>
      <c r="BH9" s="2"/>
      <c r="BI9" s="2"/>
      <c r="BJ9" s="2"/>
      <c r="BK9" s="2"/>
      <c r="BL9" s="2"/>
    </row>
    <row r="10">
      <c r="A10" s="72"/>
      <c r="B10" s="33" t="s">
        <v>111</v>
      </c>
      <c r="C10" s="74"/>
      <c r="D10" s="32"/>
      <c r="E10" s="32"/>
      <c r="F10" s="32"/>
      <c r="G10" s="32"/>
      <c r="H10" s="75"/>
      <c r="I10" s="6"/>
      <c r="J10" s="6"/>
      <c r="K10" s="6"/>
      <c r="L10" s="6"/>
      <c r="M10" s="6"/>
      <c r="N10" s="6"/>
      <c r="O10" s="6"/>
      <c r="P10" s="58"/>
      <c r="Q10" s="61"/>
      <c r="R10" s="6"/>
      <c r="S10" s="60"/>
      <c r="T10" s="61"/>
      <c r="U10" s="58"/>
      <c r="V10" s="6">
        <f>((854.56-854)/2)/100</f>
        <v>0.0028</v>
      </c>
      <c r="W10" s="6">
        <f>((854.8-854.56)/2)/100</f>
        <v>0.0012</v>
      </c>
      <c r="Y10" s="79">
        <f>((857.2-854.8)/2)/100</f>
        <v>0.012</v>
      </c>
      <c r="Z10" s="7">
        <f>((932.44-857.2)/2)/100</f>
        <v>0.3762</v>
      </c>
      <c r="AA10" s="79">
        <f>((934.8-932.44)/2)/100</f>
        <v>0.0118</v>
      </c>
      <c r="AB10" s="79">
        <f>((934.84-934.8)/2)/100</f>
        <v>0.0002</v>
      </c>
      <c r="AC10" s="79">
        <f>((937.2-934.84)/2)/100</f>
        <v>0.0118</v>
      </c>
      <c r="AD10" s="79">
        <f>((1012.4-937.2)/2)/100</f>
        <v>0.376</v>
      </c>
      <c r="AH10" s="79">
        <f>((1014.8-1012.4)/2)/100</f>
        <v>0.012</v>
      </c>
      <c r="AI10" s="79">
        <f>((1016.8-1014.8)/2)/100</f>
        <v>0.01</v>
      </c>
      <c r="AJ10" s="79"/>
      <c r="AK10" s="79"/>
      <c r="AL10" s="79"/>
      <c r="AM10" s="65">
        <f> SUM(V10:AI10)</f>
        <v>0.814</v>
      </c>
      <c r="AN10" s="7">
        <f>(535.8-508.4)/100</f>
        <v>0.274</v>
      </c>
      <c r="AO10" s="66">
        <f>((1140.4-1071.6)/2)/100</f>
        <v>0.344</v>
      </c>
      <c r="AP10" s="47"/>
      <c r="AQ10" s="47"/>
      <c r="AR10" s="67">
        <f>SUM(AI10:AN10)+AO10</f>
        <v>1.442</v>
      </c>
      <c r="AS10" s="77"/>
      <c r="AT10" s="61"/>
      <c r="AU10" s="57"/>
      <c r="AV10" s="66"/>
      <c r="AW10" s="61"/>
      <c r="AX10" s="6"/>
      <c r="AY10" s="60"/>
      <c r="AZ10" s="78"/>
      <c r="BA10" s="2"/>
      <c r="BB10" s="2"/>
      <c r="BC10" s="2"/>
      <c r="BD10" s="2"/>
      <c r="BF10" s="2"/>
      <c r="BG10" s="2"/>
      <c r="BH10" s="2"/>
      <c r="BI10" s="2"/>
      <c r="BJ10" s="2"/>
      <c r="BK10" s="2"/>
      <c r="BL10" s="2"/>
    </row>
    <row r="11">
      <c r="A11" s="32"/>
      <c r="B11" s="33" t="s">
        <v>112</v>
      </c>
      <c r="C11" s="74"/>
      <c r="D11" s="32"/>
      <c r="E11" s="32"/>
      <c r="F11" s="32"/>
      <c r="G11" s="32"/>
      <c r="H11" s="75"/>
      <c r="I11" s="6">
        <v>35.63</v>
      </c>
      <c r="J11" s="6">
        <v>0.51</v>
      </c>
      <c r="K11" s="6">
        <v>0.51</v>
      </c>
      <c r="L11" s="80">
        <f>L6-I6-J11-K11</f>
        <v>9.94</v>
      </c>
      <c r="M11" s="80"/>
      <c r="N11" s="6">
        <v>1.79</v>
      </c>
      <c r="O11" s="6">
        <v>1.79</v>
      </c>
      <c r="P11" s="81">
        <f>71.57-SUM(I11:O11)</f>
        <v>21.4</v>
      </c>
      <c r="Q11" s="61">
        <f>Q6-P6</f>
        <v>0.8</v>
      </c>
      <c r="R11" s="6">
        <v>0.13</v>
      </c>
      <c r="S11" s="60">
        <v>0.13</v>
      </c>
      <c r="T11" s="82">
        <f>T6-Q6-(S11+R11)</f>
        <v>502.07</v>
      </c>
      <c r="U11" s="83"/>
      <c r="V11" s="2">
        <f>V6-T6</f>
        <v>2.040241474</v>
      </c>
      <c r="W11" s="80">
        <f>W6-V6</f>
        <v>0.4993601265</v>
      </c>
      <c r="Y11" s="80">
        <f>Y6-W6</f>
        <v>5.009452416</v>
      </c>
      <c r="Z11" s="2">
        <f t="shared" ref="Z11:AD11" si="3">Z6-Y6</f>
        <v>172.1156449</v>
      </c>
      <c r="AA11" s="2">
        <f t="shared" si="3"/>
        <v>5.885705842</v>
      </c>
      <c r="AB11" s="2">
        <f t="shared" si="3"/>
        <v>0.100020505</v>
      </c>
      <c r="AC11" s="2">
        <f t="shared" si="3"/>
        <v>5.916740711</v>
      </c>
      <c r="AD11" s="2">
        <f t="shared" si="3"/>
        <v>204.979017</v>
      </c>
      <c r="AH11" s="2">
        <f>AH6-AD6</f>
        <v>7.081905024</v>
      </c>
      <c r="AI11" s="2">
        <f>AI6-AH6</f>
        <v>5.92780448</v>
      </c>
      <c r="AJ11" s="2"/>
      <c r="AK11" s="2"/>
      <c r="AL11" s="2"/>
      <c r="AM11" s="65">
        <f>SUM(V11:AI11)</f>
        <v>409.5558925</v>
      </c>
      <c r="AN11" s="2">
        <f>AN6-AI6</f>
        <v>171.8791075</v>
      </c>
      <c r="AO11" s="70">
        <f>AO6-AN6</f>
        <v>242.6958793</v>
      </c>
      <c r="AP11" s="47"/>
      <c r="AQ11" s="47"/>
      <c r="AR11" s="67">
        <f>SUM(V11:AO11)</f>
        <v>1233.686772</v>
      </c>
      <c r="AS11" s="84"/>
      <c r="AT11" s="78">
        <f>AT6-AO6</f>
        <v>5069.169121</v>
      </c>
      <c r="AU11" s="2"/>
      <c r="AV11" s="70">
        <f>AV6-AO6</f>
        <v>8519.388241</v>
      </c>
      <c r="AW11" s="78"/>
      <c r="AX11" s="2"/>
      <c r="AY11" s="70">
        <f>AY6-AT6</f>
        <v>9854.13</v>
      </c>
      <c r="AZ11" s="78"/>
      <c r="BA11" s="2"/>
      <c r="BB11" s="2"/>
      <c r="BC11" s="2"/>
      <c r="BD11" s="2"/>
      <c r="BF11" s="2"/>
      <c r="BG11" s="2"/>
      <c r="BH11" s="2"/>
      <c r="BI11" s="2"/>
      <c r="BJ11" s="2"/>
      <c r="BK11" s="2"/>
      <c r="BL11" s="2"/>
    </row>
    <row r="12">
      <c r="A12" s="32"/>
      <c r="B12" s="33" t="s">
        <v>113</v>
      </c>
      <c r="C12" s="85"/>
      <c r="D12" s="86"/>
      <c r="E12" s="86"/>
      <c r="F12" s="86"/>
      <c r="G12" s="86"/>
      <c r="H12" s="87"/>
      <c r="I12" s="86">
        <v>1400.0</v>
      </c>
      <c r="J12" s="6">
        <v>2330.0</v>
      </c>
      <c r="K12" s="6">
        <v>2330.0</v>
      </c>
      <c r="L12" s="32">
        <v>1190.0</v>
      </c>
      <c r="M12" s="32"/>
      <c r="N12" s="6">
        <v>1190.0</v>
      </c>
      <c r="O12" s="6">
        <v>1190.0</v>
      </c>
      <c r="P12" s="88">
        <v>1400.0</v>
      </c>
      <c r="Q12" s="61">
        <v>4500.0</v>
      </c>
      <c r="R12" s="6">
        <v>4500.0</v>
      </c>
      <c r="S12" s="60">
        <v>4500.0</v>
      </c>
      <c r="T12" s="89">
        <v>1400.0</v>
      </c>
      <c r="U12" s="58"/>
      <c r="V12" s="6">
        <v>0.0</v>
      </c>
      <c r="W12" s="6">
        <v>7850.0</v>
      </c>
      <c r="Y12" s="6">
        <v>700.0</v>
      </c>
      <c r="Z12" s="7">
        <v>700.0</v>
      </c>
      <c r="AA12" s="7">
        <v>700.0</v>
      </c>
      <c r="AB12" s="7">
        <v>7980.0</v>
      </c>
      <c r="AC12" s="7">
        <v>700.0</v>
      </c>
      <c r="AD12" s="7">
        <v>40.0</v>
      </c>
      <c r="AH12" s="7">
        <v>700.0</v>
      </c>
      <c r="AI12" s="7">
        <v>7980.0</v>
      </c>
      <c r="AJ12" s="7"/>
      <c r="AK12" s="7"/>
      <c r="AL12" s="7"/>
      <c r="AM12" s="65"/>
      <c r="AN12" s="7">
        <v>7980.0</v>
      </c>
      <c r="AO12" s="70"/>
      <c r="AP12" s="47"/>
      <c r="AQ12" s="47"/>
      <c r="AR12" s="67">
        <f>AS6-T6</f>
        <v>824.1308793</v>
      </c>
      <c r="AS12" s="84"/>
      <c r="AT12" s="78"/>
      <c r="AU12" s="2"/>
      <c r="AV12" s="70"/>
      <c r="AW12" s="78"/>
      <c r="AX12" s="2"/>
      <c r="AY12" s="70"/>
      <c r="AZ12" s="78"/>
      <c r="BA12" s="2"/>
      <c r="BB12" s="2"/>
      <c r="BC12" s="2"/>
      <c r="BD12" s="2"/>
      <c r="BF12" s="2"/>
      <c r="BG12" s="2"/>
      <c r="BH12" s="2"/>
      <c r="BI12" s="2"/>
      <c r="BJ12" s="2"/>
      <c r="BK12" s="2"/>
      <c r="BL12" s="2"/>
    </row>
    <row r="13">
      <c r="A13" s="32"/>
      <c r="B13" s="33" t="s">
        <v>114</v>
      </c>
      <c r="C13" s="90"/>
      <c r="D13" s="72"/>
      <c r="E13" s="72"/>
      <c r="F13" s="72"/>
      <c r="G13" s="72"/>
      <c r="H13" s="91"/>
      <c r="I13" s="80">
        <f>I6*I12</f>
        <v>49882</v>
      </c>
      <c r="J13" s="80">
        <f>J11*J12</f>
        <v>1188.3</v>
      </c>
      <c r="K13" s="80">
        <f>K12*K11</f>
        <v>1188.3</v>
      </c>
      <c r="L13" s="80">
        <f>L11*L12</f>
        <v>11828.6</v>
      </c>
      <c r="M13" s="80"/>
      <c r="N13" s="80">
        <f t="shared" ref="N13:O13" si="4">N12*N11</f>
        <v>2130.1</v>
      </c>
      <c r="O13" s="80">
        <f t="shared" si="4"/>
        <v>2130.1</v>
      </c>
      <c r="P13" s="81">
        <f t="shared" ref="P13:Q13" si="5">P11*P12</f>
        <v>29960</v>
      </c>
      <c r="Q13" s="82">
        <f t="shared" si="5"/>
        <v>3600</v>
      </c>
      <c r="R13" s="80">
        <f t="shared" ref="R13:S13" si="6">R12*R11</f>
        <v>585</v>
      </c>
      <c r="S13" s="92">
        <f t="shared" si="6"/>
        <v>585</v>
      </c>
      <c r="T13" s="82">
        <f>T11*T12</f>
        <v>702898</v>
      </c>
      <c r="U13" s="58"/>
      <c r="V13" s="6">
        <v>0.0</v>
      </c>
      <c r="W13" s="80">
        <f>W12*W11</f>
        <v>3919.976993</v>
      </c>
      <c r="Y13" s="80">
        <f t="shared" ref="Y13:AC13" si="7">Y12*Y11</f>
        <v>3506.616691</v>
      </c>
      <c r="Z13" s="80">
        <f t="shared" si="7"/>
        <v>120480.9515</v>
      </c>
      <c r="AA13" s="80">
        <f t="shared" si="7"/>
        <v>4119.99409</v>
      </c>
      <c r="AB13" s="2">
        <f t="shared" si="7"/>
        <v>798.1636301</v>
      </c>
      <c r="AC13" s="2">
        <f t="shared" si="7"/>
        <v>4141.718498</v>
      </c>
      <c r="AD13" s="2">
        <f>AD11*AD12</f>
        <v>8199.160678</v>
      </c>
      <c r="AH13" s="2">
        <f t="shared" ref="AH13:AI13" si="8">AH12*AH11</f>
        <v>4957.333517</v>
      </c>
      <c r="AI13" s="2">
        <f t="shared" si="8"/>
        <v>47303.87975</v>
      </c>
      <c r="AJ13" s="2"/>
      <c r="AK13" s="2"/>
      <c r="AL13" s="2"/>
      <c r="AM13" s="65">
        <f t="shared" ref="AM13:AM14" si="14">SUM(V13:AI13)</f>
        <v>197427.7953</v>
      </c>
      <c r="AN13" s="2">
        <f>AN12*AN11</f>
        <v>1371595.278</v>
      </c>
      <c r="AO13" s="70"/>
      <c r="AP13" s="47"/>
      <c r="AQ13" s="47"/>
      <c r="AR13" s="67">
        <f>sum(AI13,AN13)</f>
        <v>1418899.158</v>
      </c>
      <c r="AS13" s="84">
        <f>sum(V13:AN13)</f>
        <v>1766450.869</v>
      </c>
      <c r="AT13" s="78"/>
      <c r="AU13" s="2"/>
      <c r="AV13" s="70"/>
      <c r="AW13" s="78"/>
      <c r="AX13" s="2"/>
      <c r="AY13" s="70"/>
      <c r="AZ13" s="78"/>
      <c r="BA13" s="2"/>
      <c r="BB13" s="2"/>
      <c r="BC13" s="2"/>
      <c r="BD13" s="2"/>
      <c r="BF13" s="2"/>
      <c r="BG13" s="2"/>
      <c r="BH13" s="2"/>
      <c r="BI13" s="2"/>
      <c r="BJ13" s="2"/>
      <c r="BK13" s="2"/>
      <c r="BL13" s="2"/>
    </row>
    <row r="14">
      <c r="A14" s="32"/>
      <c r="B14" s="33" t="s">
        <v>115</v>
      </c>
      <c r="C14" s="90"/>
      <c r="D14" s="72"/>
      <c r="E14" s="72"/>
      <c r="F14" s="72"/>
      <c r="G14" s="72"/>
      <c r="H14" s="91"/>
      <c r="I14" s="80">
        <f t="shared" ref="I14:L14" si="9">I13/1000</f>
        <v>49.882</v>
      </c>
      <c r="J14" s="80">
        <f t="shared" si="9"/>
        <v>1.1883</v>
      </c>
      <c r="K14" s="80">
        <f t="shared" si="9"/>
        <v>1.1883</v>
      </c>
      <c r="L14" s="80">
        <f t="shared" si="9"/>
        <v>11.8286</v>
      </c>
      <c r="M14" s="80"/>
      <c r="N14" s="80">
        <f t="shared" ref="N14:T14" si="10">N13/1000</f>
        <v>2.1301</v>
      </c>
      <c r="O14" s="80">
        <f t="shared" si="10"/>
        <v>2.1301</v>
      </c>
      <c r="P14" s="81">
        <f t="shared" si="10"/>
        <v>29.96</v>
      </c>
      <c r="Q14" s="80">
        <f t="shared" si="10"/>
        <v>3.6</v>
      </c>
      <c r="R14" s="80">
        <f t="shared" si="10"/>
        <v>0.585</v>
      </c>
      <c r="S14" s="80">
        <f t="shared" si="10"/>
        <v>0.585</v>
      </c>
      <c r="T14" s="82">
        <f t="shared" si="10"/>
        <v>702.898</v>
      </c>
      <c r="U14" s="81"/>
      <c r="V14" s="80">
        <f t="shared" ref="V14:W14" si="11">V13/1000</f>
        <v>0</v>
      </c>
      <c r="W14" s="80">
        <f t="shared" si="11"/>
        <v>3.919976993</v>
      </c>
      <c r="Y14" s="80">
        <f t="shared" ref="Y14:AD14" si="12">Y13/1000</f>
        <v>3.506616691</v>
      </c>
      <c r="Z14" s="80">
        <f t="shared" si="12"/>
        <v>120.4809515</v>
      </c>
      <c r="AA14" s="80">
        <f t="shared" si="12"/>
        <v>4.11999409</v>
      </c>
      <c r="AB14" s="80">
        <f t="shared" si="12"/>
        <v>0.7981636301</v>
      </c>
      <c r="AC14" s="80">
        <f t="shared" si="12"/>
        <v>4.141718498</v>
      </c>
      <c r="AD14" s="80">
        <f t="shared" si="12"/>
        <v>8.199160678</v>
      </c>
      <c r="AH14" s="80">
        <f t="shared" ref="AH14:AI14" si="13">AH13/1000</f>
        <v>4.957333517</v>
      </c>
      <c r="AI14" s="80">
        <f t="shared" si="13"/>
        <v>47.30387975</v>
      </c>
      <c r="AJ14" s="80"/>
      <c r="AK14" s="80"/>
      <c r="AL14" s="80"/>
      <c r="AM14" s="65">
        <f t="shared" si="14"/>
        <v>197.4277953</v>
      </c>
      <c r="AN14" s="80">
        <f>AN13/1000</f>
        <v>1371.595278</v>
      </c>
      <c r="AO14" s="92">
        <f>SUM(W14:AN14)</f>
        <v>1766.450869</v>
      </c>
      <c r="AP14" s="47"/>
      <c r="AQ14" s="47"/>
      <c r="AR14" s="93">
        <f t="shared" ref="AR14:AS14" si="15">AR13/1000</f>
        <v>1418.899158</v>
      </c>
      <c r="AS14" s="94">
        <f t="shared" si="15"/>
        <v>1766.450869</v>
      </c>
      <c r="AT14" s="2"/>
      <c r="AU14" s="2"/>
      <c r="AV14" s="70"/>
      <c r="AW14" s="78"/>
      <c r="AX14" s="2"/>
      <c r="AY14" s="70"/>
      <c r="AZ14" s="78"/>
      <c r="BA14" s="2"/>
      <c r="BB14" s="2"/>
      <c r="BC14" s="2"/>
      <c r="BD14" s="2"/>
      <c r="BF14" s="2"/>
      <c r="BG14" s="2"/>
      <c r="BH14" s="2"/>
      <c r="BI14" s="2"/>
      <c r="BJ14" s="2"/>
      <c r="BK14" s="2"/>
      <c r="BL14" s="2"/>
    </row>
    <row r="15">
      <c r="A15" s="72"/>
      <c r="B15" s="33" t="s">
        <v>116</v>
      </c>
      <c r="C15" s="95"/>
      <c r="D15" s="96"/>
      <c r="E15" s="96"/>
      <c r="F15" s="96"/>
      <c r="G15" s="96"/>
      <c r="H15" s="97"/>
      <c r="I15" s="98">
        <f>SUM(I11:O11)</f>
        <v>50.17</v>
      </c>
      <c r="J15" s="99"/>
      <c r="K15" s="99"/>
      <c r="L15" s="99"/>
      <c r="M15" s="99"/>
      <c r="N15" s="99"/>
      <c r="O15" s="99"/>
      <c r="P15" s="100">
        <f>71.57-SUM(I15:O15)</f>
        <v>21.4</v>
      </c>
      <c r="Q15" s="101">
        <f>SUM(Q11:S11)</f>
        <v>1.06</v>
      </c>
      <c r="R15" s="99"/>
      <c r="S15" s="102"/>
      <c r="T15" s="101">
        <v>502.07</v>
      </c>
      <c r="U15" s="103"/>
      <c r="V15" s="32"/>
      <c r="W15" s="104"/>
      <c r="X15" s="104"/>
      <c r="Y15" s="104"/>
      <c r="Z15" s="104"/>
      <c r="AA15" s="104"/>
      <c r="AB15" s="104"/>
      <c r="AC15" s="104"/>
      <c r="AD15" s="104"/>
      <c r="AE15" s="104"/>
      <c r="AF15" s="104"/>
      <c r="AG15" s="105"/>
      <c r="AH15" s="106"/>
      <c r="AI15" s="106"/>
      <c r="AJ15" s="106"/>
      <c r="AK15" s="106"/>
      <c r="AL15" s="106"/>
      <c r="AM15" s="107"/>
      <c r="AN15" s="108"/>
      <c r="AO15" s="109"/>
      <c r="AP15" s="109"/>
      <c r="AQ15" s="109"/>
      <c r="AR15" s="110"/>
      <c r="AS15" s="111">
        <f>SUM(I15:AR15)</f>
        <v>574.7</v>
      </c>
      <c r="AT15" s="112"/>
      <c r="AU15" s="113"/>
      <c r="AV15" s="114"/>
      <c r="AW15" s="112"/>
      <c r="AX15" s="113"/>
      <c r="AY15" s="114"/>
      <c r="AZ15" s="2"/>
      <c r="BA15" s="2"/>
      <c r="BB15" s="2"/>
      <c r="BC15" s="2"/>
      <c r="BD15" s="2"/>
      <c r="BF15" s="2"/>
      <c r="BG15" s="2"/>
      <c r="BH15" s="2"/>
      <c r="BI15" s="2"/>
      <c r="BJ15" s="2"/>
      <c r="BK15" s="2"/>
      <c r="BL15" s="2"/>
    </row>
    <row r="16">
      <c r="A16" s="115"/>
      <c r="B16" s="116"/>
      <c r="C16" s="90"/>
      <c r="D16" s="72"/>
      <c r="E16" s="72"/>
      <c r="F16" s="72"/>
      <c r="G16" s="72"/>
      <c r="H16" s="91"/>
      <c r="I16" s="80"/>
      <c r="J16" s="80"/>
      <c r="K16" s="80"/>
      <c r="L16" s="80"/>
      <c r="M16" s="80"/>
      <c r="N16" s="80"/>
      <c r="O16" s="80"/>
      <c r="P16" s="81"/>
      <c r="Q16" s="82"/>
      <c r="R16" s="80"/>
      <c r="S16" s="92"/>
      <c r="T16" s="82"/>
      <c r="U16" s="117"/>
      <c r="V16" s="118"/>
      <c r="W16" s="119" t="s">
        <v>117</v>
      </c>
      <c r="X16" s="120"/>
      <c r="Y16" s="120"/>
      <c r="Z16" s="120"/>
      <c r="AA16" s="120"/>
      <c r="AB16" s="120"/>
      <c r="AC16" s="120"/>
      <c r="AD16" s="120"/>
      <c r="AE16" s="120"/>
      <c r="AF16" s="120"/>
      <c r="AG16" s="120"/>
      <c r="AH16" s="120"/>
      <c r="AI16" s="121"/>
      <c r="AJ16" s="122"/>
      <c r="AK16" s="123" t="s">
        <v>118</v>
      </c>
      <c r="AL16" s="124"/>
      <c r="AM16" s="65"/>
      <c r="AO16" s="2"/>
      <c r="AP16" s="2"/>
      <c r="AQ16" s="2"/>
      <c r="AR16" s="65"/>
      <c r="AS16" s="84"/>
      <c r="AT16" s="78"/>
      <c r="AU16" s="7" t="s">
        <v>119</v>
      </c>
      <c r="AV16" s="70"/>
      <c r="AW16" s="78"/>
      <c r="AX16" s="2"/>
      <c r="AY16" s="70"/>
      <c r="AZ16" s="78"/>
      <c r="BA16" s="2"/>
      <c r="BB16" s="2"/>
      <c r="BC16" s="2"/>
      <c r="BD16" s="2"/>
      <c r="BF16" s="2"/>
      <c r="BG16" s="2"/>
      <c r="BH16" s="2"/>
      <c r="BI16" s="2"/>
      <c r="BJ16" s="2"/>
      <c r="BK16" s="2"/>
      <c r="BL16" s="2"/>
    </row>
    <row r="17">
      <c r="A17" s="115"/>
      <c r="B17" s="125" t="s">
        <v>120</v>
      </c>
      <c r="C17" s="55"/>
      <c r="D17" s="2" t="s">
        <v>14</v>
      </c>
      <c r="E17" s="2" t="s">
        <v>15</v>
      </c>
      <c r="F17" s="2" t="s">
        <v>16</v>
      </c>
      <c r="G17" s="6" t="s">
        <v>121</v>
      </c>
      <c r="H17" s="126" t="s">
        <v>122</v>
      </c>
      <c r="I17" s="80"/>
      <c r="J17" s="6"/>
      <c r="K17" s="80"/>
      <c r="L17" s="80"/>
      <c r="M17" s="80"/>
      <c r="N17" s="80"/>
      <c r="O17" s="80"/>
      <c r="P17" s="78"/>
      <c r="Q17" s="82"/>
      <c r="R17" s="80"/>
      <c r="S17" s="92"/>
      <c r="T17" s="82"/>
      <c r="U17" s="62"/>
      <c r="V17" s="7"/>
      <c r="W17" s="7"/>
      <c r="X17" s="127"/>
      <c r="Y17" s="7"/>
      <c r="Z17" s="7"/>
      <c r="AA17" s="7"/>
      <c r="AB17" s="7"/>
      <c r="AC17" s="7"/>
      <c r="AD17" s="7"/>
      <c r="AE17" s="7"/>
      <c r="AF17" s="7"/>
      <c r="AI17" s="47"/>
      <c r="AJ17" s="128"/>
      <c r="AK17" s="40" t="s">
        <v>123</v>
      </c>
      <c r="AL17" s="129" t="s">
        <v>124</v>
      </c>
      <c r="AM17" s="65"/>
      <c r="AN17" s="44" t="s">
        <v>125</v>
      </c>
      <c r="AO17" s="7" t="s">
        <v>126</v>
      </c>
      <c r="AP17" s="7" t="s">
        <v>127</v>
      </c>
      <c r="AQ17" s="7"/>
      <c r="AR17" s="130" t="s">
        <v>128</v>
      </c>
      <c r="AS17" s="84"/>
      <c r="AT17" s="78"/>
      <c r="AU17" s="2"/>
      <c r="AV17" s="70"/>
      <c r="AW17" s="78"/>
      <c r="AX17" s="2"/>
      <c r="AY17" s="70"/>
      <c r="BF17" s="2"/>
      <c r="BG17" s="2"/>
      <c r="BH17" s="2"/>
      <c r="BI17" s="2"/>
      <c r="BJ17" s="2"/>
      <c r="BK17" s="2"/>
      <c r="BL17" s="2"/>
    </row>
    <row r="18">
      <c r="A18" s="32"/>
      <c r="B18" s="131" t="s">
        <v>129</v>
      </c>
      <c r="C18" s="55" t="s">
        <v>47</v>
      </c>
      <c r="D18" s="2">
        <f t="shared" ref="D18:E18" si="16">8548/1000</f>
        <v>8.548</v>
      </c>
      <c r="E18" s="132">
        <f t="shared" si="16"/>
        <v>8.548</v>
      </c>
      <c r="F18" s="2">
        <f>7900/1000</f>
        <v>7.9</v>
      </c>
      <c r="G18" s="2">
        <f t="shared" ref="G18:G20" si="17">D18*E18*F18</f>
        <v>577.2396016</v>
      </c>
      <c r="H18" s="75">
        <f>G18</f>
        <v>577.2396016</v>
      </c>
      <c r="I18" s="6" t="s">
        <v>130</v>
      </c>
      <c r="J18" s="6" t="s">
        <v>131</v>
      </c>
      <c r="K18" s="6" t="s">
        <v>132</v>
      </c>
      <c r="L18" s="6" t="s">
        <v>133</v>
      </c>
      <c r="M18" s="6" t="s">
        <v>134</v>
      </c>
      <c r="N18" s="6" t="s">
        <v>24</v>
      </c>
      <c r="O18" s="6" t="s">
        <v>25</v>
      </c>
      <c r="P18" s="61" t="s">
        <v>135</v>
      </c>
      <c r="Q18" s="61" t="s">
        <v>136</v>
      </c>
      <c r="R18" s="80"/>
      <c r="S18" s="92"/>
      <c r="T18" s="61"/>
      <c r="U18" s="58"/>
      <c r="V18" s="6"/>
      <c r="X18" s="6" t="s">
        <v>137</v>
      </c>
      <c r="Y18" s="6" t="s">
        <v>35</v>
      </c>
      <c r="Z18" s="6" t="s">
        <v>138</v>
      </c>
      <c r="AA18" s="6" t="s">
        <v>35</v>
      </c>
      <c r="AC18" s="6" t="s">
        <v>35</v>
      </c>
      <c r="AD18" s="6" t="s">
        <v>138</v>
      </c>
      <c r="AE18" s="6" t="s">
        <v>139</v>
      </c>
      <c r="AF18" s="6" t="s">
        <v>140</v>
      </c>
      <c r="AG18" s="6" t="s">
        <v>138</v>
      </c>
      <c r="AH18" s="6" t="s">
        <v>33</v>
      </c>
      <c r="AI18" s="6" t="s">
        <v>38</v>
      </c>
      <c r="AJ18" s="61"/>
      <c r="AK18" s="133"/>
      <c r="AL18" s="134"/>
      <c r="AM18" s="46" t="s">
        <v>141</v>
      </c>
      <c r="AR18" s="135"/>
      <c r="AS18" s="136"/>
      <c r="AT18" s="7"/>
      <c r="AU18" s="7"/>
      <c r="AV18" s="7"/>
      <c r="AW18" s="78"/>
      <c r="AX18" s="2"/>
      <c r="AY18" s="70"/>
      <c r="BF18" s="2"/>
      <c r="BG18" s="2"/>
      <c r="BH18" s="2"/>
      <c r="BI18" s="2"/>
      <c r="BJ18" s="2"/>
      <c r="BK18" s="2"/>
      <c r="BL18" s="2"/>
    </row>
    <row r="19">
      <c r="A19" s="32"/>
      <c r="B19" s="131" t="s">
        <v>142</v>
      </c>
      <c r="C19" s="55" t="s">
        <v>50</v>
      </c>
      <c r="D19" s="2">
        <f>10148/1000</f>
        <v>10.148</v>
      </c>
      <c r="E19" s="2">
        <v>10.148</v>
      </c>
      <c r="F19" s="2">
        <f>9500/1000</f>
        <v>9.5</v>
      </c>
      <c r="G19" s="2">
        <f t="shared" si="17"/>
        <v>978.328088</v>
      </c>
      <c r="H19" s="75">
        <f t="shared" ref="H19:H20" si="21">G19-G18</f>
        <v>401.0884864</v>
      </c>
      <c r="I19" s="6">
        <v>33.48</v>
      </c>
      <c r="J19" s="6">
        <v>1.44</v>
      </c>
      <c r="K19" s="6">
        <v>1.44</v>
      </c>
      <c r="L19" s="6">
        <f>39.47+M21</f>
        <v>46.6</v>
      </c>
      <c r="M19" s="6">
        <v>15.0</v>
      </c>
      <c r="N19" s="6">
        <v>1.79</v>
      </c>
      <c r="O19" s="6">
        <v>1.79</v>
      </c>
      <c r="P19" s="61">
        <v>80.0</v>
      </c>
      <c r="Q19" s="61">
        <v>80.0</v>
      </c>
      <c r="R19" s="80"/>
      <c r="S19" s="92"/>
      <c r="T19" s="137">
        <v>577.239</v>
      </c>
      <c r="U19" s="83"/>
      <c r="V19" s="2"/>
      <c r="X19" s="2">
        <f>T19+X21</f>
        <v>577.776</v>
      </c>
      <c r="Y19" s="2">
        <f t="shared" ref="Y19:AA19" si="18">X19+Y21</f>
        <v>581.92</v>
      </c>
      <c r="Z19" s="2">
        <f t="shared" si="18"/>
        <v>722.42</v>
      </c>
      <c r="AA19" s="2">
        <f t="shared" si="18"/>
        <v>727.492</v>
      </c>
      <c r="AC19" s="2">
        <f>AA19+AC21</f>
        <v>732.593</v>
      </c>
      <c r="AD19" s="2">
        <f t="shared" ref="AD19:AE19" si="19">AC19+AD21</f>
        <v>770.913</v>
      </c>
      <c r="AE19" s="2">
        <f t="shared" si="19"/>
        <v>771.175</v>
      </c>
      <c r="AF19" s="2"/>
      <c r="AG19" s="2">
        <f>AE19+AG21</f>
        <v>909.675</v>
      </c>
      <c r="AH19" s="2">
        <f t="shared" ref="AH19:AI19" si="20">AG19+AH21</f>
        <v>914.252</v>
      </c>
      <c r="AI19" s="138">
        <f t="shared" si="20"/>
        <v>922.8197749</v>
      </c>
      <c r="AJ19" s="139"/>
      <c r="AK19" s="140">
        <f>AI19+AK21</f>
        <v>979.8197749</v>
      </c>
      <c r="AL19" s="141">
        <f>AK19+AL21</f>
        <v>980.1197749</v>
      </c>
      <c r="AM19" s="142">
        <f>AL19-T19</f>
        <v>402.8807749</v>
      </c>
      <c r="AN19" s="138">
        <f>AL19+AN21</f>
        <v>1001.244568</v>
      </c>
      <c r="AO19" s="138">
        <f>AN19+AO21</f>
        <v>1402.615643</v>
      </c>
      <c r="AR19" s="143">
        <f>AO19-AL19</f>
        <v>422.495868</v>
      </c>
      <c r="AS19" s="144">
        <f>SUM(AR19,AM19,T19)</f>
        <v>1402.615643</v>
      </c>
      <c r="AT19" s="145" t="s">
        <v>143</v>
      </c>
      <c r="AW19" s="78"/>
      <c r="AX19" s="2"/>
      <c r="AY19" s="70"/>
      <c r="BF19" s="2"/>
      <c r="BG19" s="2"/>
      <c r="BH19" s="2"/>
      <c r="BI19" s="2"/>
      <c r="BJ19" s="2"/>
      <c r="BK19" s="2"/>
      <c r="BL19" s="2"/>
    </row>
    <row r="20">
      <c r="A20" s="32"/>
      <c r="B20" s="131" t="s">
        <v>144</v>
      </c>
      <c r="C20" s="55" t="s">
        <v>80</v>
      </c>
      <c r="D20" s="2">
        <f>11410/1000</f>
        <v>11.41</v>
      </c>
      <c r="E20" s="2">
        <v>11.41</v>
      </c>
      <c r="F20" s="2">
        <f>10760/1000</f>
        <v>10.76</v>
      </c>
      <c r="G20" s="2">
        <f t="shared" si="17"/>
        <v>1400.823956</v>
      </c>
      <c r="H20" s="75">
        <f t="shared" si="21"/>
        <v>422.495868</v>
      </c>
      <c r="I20" s="6"/>
      <c r="J20" s="6"/>
      <c r="K20" s="6"/>
      <c r="L20" s="6"/>
      <c r="M20" s="6"/>
      <c r="N20" s="6"/>
      <c r="O20" s="57"/>
      <c r="P20" s="61"/>
      <c r="Q20" s="61"/>
      <c r="R20" s="80"/>
      <c r="S20" s="92"/>
      <c r="T20" s="6"/>
      <c r="U20" s="146"/>
      <c r="V20" s="32"/>
      <c r="X20" s="32">
        <v>0.0012</v>
      </c>
      <c r="Y20" s="32">
        <v>0.012</v>
      </c>
      <c r="Z20" s="32">
        <v>0.366</v>
      </c>
      <c r="AA20" s="32">
        <v>0.012</v>
      </c>
      <c r="AC20" s="32">
        <v>0.012</v>
      </c>
      <c r="AD20" s="32">
        <v>0.088</v>
      </c>
      <c r="AE20" s="32">
        <v>6.0E-4</v>
      </c>
      <c r="AF20" s="7" t="s">
        <v>145</v>
      </c>
      <c r="AG20" s="32">
        <v>0.291</v>
      </c>
      <c r="AH20" s="32">
        <v>0.009</v>
      </c>
      <c r="AI20" s="147">
        <f>10/1000</f>
        <v>0.01</v>
      </c>
      <c r="AJ20" s="139"/>
      <c r="AK20" s="69">
        <f>800/1000</f>
        <v>0.8</v>
      </c>
      <c r="AL20" s="7">
        <v>0.002</v>
      </c>
      <c r="AM20" s="46">
        <f>SUM(X20:AH20)+AI20</f>
        <v>0.8018</v>
      </c>
      <c r="AN20" s="148"/>
      <c r="AP20" s="149">
        <v>0.631</v>
      </c>
      <c r="AQ20" s="149"/>
      <c r="AR20" s="150">
        <f>AM20+AP20</f>
        <v>1.4328</v>
      </c>
      <c r="AS20" s="65"/>
      <c r="AT20" s="7"/>
      <c r="AU20" s="7"/>
      <c r="AV20" s="7"/>
      <c r="AW20" s="78"/>
      <c r="AX20" s="2"/>
      <c r="AY20" s="70"/>
      <c r="BF20" s="2"/>
      <c r="BG20" s="2"/>
      <c r="BH20" s="2"/>
      <c r="BI20" s="2"/>
      <c r="BJ20" s="2"/>
      <c r="BK20" s="2"/>
      <c r="BL20" s="2"/>
    </row>
    <row r="21">
      <c r="A21" s="32"/>
      <c r="B21" s="131" t="s">
        <v>112</v>
      </c>
      <c r="C21" s="74"/>
      <c r="D21" s="32"/>
      <c r="E21" s="32"/>
      <c r="F21" s="32"/>
      <c r="G21" s="32"/>
      <c r="H21" s="75"/>
      <c r="I21" s="6">
        <v>33.48</v>
      </c>
      <c r="J21" s="6"/>
      <c r="K21" s="6"/>
      <c r="L21" s="6">
        <f>L19-K19-J19-I19</f>
        <v>10.24</v>
      </c>
      <c r="M21" s="6">
        <v>7.13</v>
      </c>
      <c r="P21" s="58"/>
      <c r="Q21" s="61"/>
      <c r="R21" s="80"/>
      <c r="S21" s="92"/>
      <c r="T21" s="61">
        <f>T19-Q19</f>
        <v>497.239</v>
      </c>
      <c r="U21" s="58"/>
      <c r="V21" s="6" t="s">
        <v>146</v>
      </c>
      <c r="X21" s="151">
        <v>0.537</v>
      </c>
      <c r="Y21" s="7">
        <v>4.144</v>
      </c>
      <c r="Z21" s="7">
        <v>140.5</v>
      </c>
      <c r="AA21" s="7">
        <v>5.072</v>
      </c>
      <c r="AC21" s="7">
        <v>5.101</v>
      </c>
      <c r="AD21" s="7">
        <v>38.32</v>
      </c>
      <c r="AE21" s="7">
        <v>0.262</v>
      </c>
      <c r="AF21" s="7"/>
      <c r="AG21" s="7">
        <v>138.5</v>
      </c>
      <c r="AH21" s="7">
        <v>4.577</v>
      </c>
      <c r="AI21" s="138">
        <f>AI25/AI24</f>
        <v>8.567774936</v>
      </c>
      <c r="AJ21" s="152"/>
      <c r="AK21" s="69">
        <v>57.0</v>
      </c>
      <c r="AL21" s="7">
        <v>0.3</v>
      </c>
      <c r="AM21" s="153">
        <f>SUM(X21:AH21)+AK21+AL21+AI21</f>
        <v>402.8807749</v>
      </c>
      <c r="AN21" s="154">
        <v>21.1247934</v>
      </c>
      <c r="AO21" s="44">
        <v>401.3710746</v>
      </c>
      <c r="AR21" s="150"/>
      <c r="AS21" s="153">
        <f>AS19-(AM21+T19)</f>
        <v>422.495868</v>
      </c>
      <c r="AT21" s="7"/>
      <c r="AW21" s="78"/>
      <c r="AX21" s="2"/>
      <c r="AY21" s="70"/>
      <c r="AZ21" s="78"/>
      <c r="BA21" s="2"/>
      <c r="BB21" s="2"/>
      <c r="BC21" s="2"/>
      <c r="BD21" s="2"/>
      <c r="BE21" s="2"/>
      <c r="BF21" s="2"/>
      <c r="BG21" s="2"/>
      <c r="BH21" s="2"/>
      <c r="BI21" s="2"/>
      <c r="BJ21" s="2"/>
      <c r="BK21" s="2"/>
      <c r="BL21" s="2"/>
    </row>
    <row r="22">
      <c r="A22" s="32"/>
      <c r="B22" s="131" t="s">
        <v>49</v>
      </c>
      <c r="C22" s="74"/>
      <c r="D22" s="32"/>
      <c r="E22" s="32"/>
      <c r="F22" s="32"/>
      <c r="G22" s="155"/>
      <c r="H22" s="75"/>
      <c r="I22" s="6" t="s">
        <v>147</v>
      </c>
      <c r="J22" s="6" t="s">
        <v>148</v>
      </c>
      <c r="K22" s="6" t="s">
        <v>148</v>
      </c>
      <c r="L22" s="80"/>
      <c r="M22" s="6" t="s">
        <v>149</v>
      </c>
      <c r="N22" s="6" t="s">
        <v>55</v>
      </c>
      <c r="O22" s="57" t="s">
        <v>56</v>
      </c>
      <c r="P22" s="58" t="s">
        <v>150</v>
      </c>
      <c r="Q22" s="61"/>
      <c r="R22" s="6"/>
      <c r="S22" s="92"/>
      <c r="T22" s="61" t="s">
        <v>151</v>
      </c>
      <c r="U22" s="146"/>
      <c r="AI22" s="47"/>
      <c r="AJ22" s="139"/>
      <c r="AK22" s="139"/>
      <c r="AM22" s="156"/>
      <c r="AP22" s="2"/>
      <c r="AQ22" s="2"/>
      <c r="AR22" s="157"/>
      <c r="AS22" s="136" t="s">
        <v>152</v>
      </c>
      <c r="AT22" s="7" t="s">
        <v>153</v>
      </c>
      <c r="AV22" s="124"/>
      <c r="AW22" s="78"/>
      <c r="AX22" s="2"/>
      <c r="AY22" s="70"/>
      <c r="AZ22" s="78"/>
      <c r="BA22" s="2"/>
      <c r="BB22" s="2"/>
      <c r="BD22" s="2"/>
      <c r="BE22" s="2"/>
      <c r="BF22" s="2"/>
      <c r="BG22" s="2"/>
      <c r="BH22" s="2"/>
      <c r="BI22" s="2"/>
      <c r="BJ22" s="2"/>
      <c r="BK22" s="2"/>
      <c r="BL22" s="2"/>
    </row>
    <row r="23">
      <c r="A23" s="32"/>
      <c r="B23" s="131"/>
      <c r="C23" s="74"/>
      <c r="D23" s="32"/>
      <c r="E23" s="32"/>
      <c r="F23" s="32"/>
      <c r="G23" s="155"/>
      <c r="H23" s="75"/>
      <c r="I23" s="6"/>
      <c r="J23" s="6"/>
      <c r="K23" s="6"/>
      <c r="L23" s="80"/>
      <c r="M23" s="6"/>
      <c r="P23" s="61"/>
      <c r="Q23" s="61"/>
      <c r="R23" s="6"/>
      <c r="S23" s="92"/>
      <c r="T23" s="61"/>
      <c r="U23" s="146"/>
      <c r="V23" s="32" t="s">
        <v>154</v>
      </c>
      <c r="W23" s="158"/>
      <c r="X23" s="2">
        <v>0.41369419871999996</v>
      </c>
      <c r="Y23" s="2">
        <v>4.1609024352</v>
      </c>
      <c r="Z23" s="2">
        <v>150.20943838559998</v>
      </c>
      <c r="AA23" s="2">
        <v>4.951037347199999</v>
      </c>
      <c r="AB23" s="2"/>
      <c r="AC23" s="2">
        <v>4.977244195199997</v>
      </c>
      <c r="AD23" s="2">
        <v>37.924624812799976</v>
      </c>
      <c r="AE23" s="2">
        <v>0.25864386239999987</v>
      </c>
      <c r="AF23" s="1"/>
      <c r="AG23" s="2">
        <v>141.66681413999999</v>
      </c>
      <c r="AH23" s="2">
        <v>4.397453135999999</v>
      </c>
      <c r="AI23" s="138">
        <v>8.567774936061381</v>
      </c>
      <c r="AJ23" s="152"/>
      <c r="AK23" s="69">
        <v>57.0</v>
      </c>
      <c r="AL23" s="7">
        <v>0.3</v>
      </c>
      <c r="AM23" s="65">
        <f>SUM(X23:AL23)</f>
        <v>414.8276274</v>
      </c>
      <c r="AP23" s="2"/>
      <c r="AQ23" s="2"/>
      <c r="AR23" s="157"/>
      <c r="AS23" s="136"/>
      <c r="AT23" s="7"/>
      <c r="AU23" s="7"/>
      <c r="AV23" s="66"/>
      <c r="AW23" s="78"/>
      <c r="AX23" s="2"/>
      <c r="AY23" s="70"/>
      <c r="AZ23" s="78"/>
      <c r="BA23" s="2"/>
      <c r="BB23" s="2"/>
      <c r="BD23" s="2"/>
      <c r="BE23" s="2"/>
      <c r="BF23" s="2"/>
      <c r="BG23" s="2"/>
      <c r="BH23" s="2"/>
      <c r="BI23" s="2"/>
      <c r="BJ23" s="2"/>
      <c r="BK23" s="2"/>
      <c r="BL23" s="2"/>
    </row>
    <row r="24">
      <c r="A24" s="32"/>
      <c r="B24" s="131" t="s">
        <v>113</v>
      </c>
      <c r="C24" s="74"/>
      <c r="D24" s="32"/>
      <c r="E24" s="32"/>
      <c r="F24" s="32"/>
      <c r="G24" s="32"/>
      <c r="H24" s="75"/>
      <c r="I24" s="6">
        <v>1400.0</v>
      </c>
      <c r="J24" s="6">
        <v>1190.0</v>
      </c>
      <c r="K24" s="159">
        <v>1190.0</v>
      </c>
      <c r="L24" s="159">
        <v>1190.0</v>
      </c>
      <c r="M24" s="159">
        <v>1190.0</v>
      </c>
      <c r="N24" s="6">
        <v>1190.0</v>
      </c>
      <c r="O24" s="6">
        <v>1190.0</v>
      </c>
      <c r="P24" s="160">
        <f>P19-(L19+N19+O19)</f>
        <v>29.82</v>
      </c>
      <c r="Q24" s="61">
        <v>4500.0</v>
      </c>
      <c r="R24" s="6"/>
      <c r="S24" s="92"/>
      <c r="T24" s="61">
        <v>1400.0</v>
      </c>
      <c r="U24" s="62"/>
      <c r="V24" s="7"/>
      <c r="X24" s="7">
        <v>7820.0</v>
      </c>
      <c r="Y24" s="7">
        <v>650.0</v>
      </c>
      <c r="Z24" s="7">
        <v>88.0</v>
      </c>
      <c r="AA24" s="7">
        <v>650.0</v>
      </c>
      <c r="AC24" s="7">
        <v>650.0</v>
      </c>
      <c r="AD24" s="7">
        <v>88.0</v>
      </c>
      <c r="AE24" s="7">
        <v>1330.0</v>
      </c>
      <c r="AF24" s="2"/>
      <c r="AG24" s="7">
        <v>88.0</v>
      </c>
      <c r="AH24" s="7">
        <v>650.0</v>
      </c>
      <c r="AI24" s="44">
        <v>7820.0</v>
      </c>
      <c r="AJ24" s="161"/>
      <c r="AK24" s="78">
        <v>40.0</v>
      </c>
      <c r="AL24" s="7">
        <v>7820.0</v>
      </c>
      <c r="AM24" s="156"/>
      <c r="AP24" s="7"/>
      <c r="AQ24" s="7"/>
      <c r="AR24" s="135"/>
      <c r="AS24" s="65"/>
      <c r="AT24" s="2"/>
      <c r="AU24" s="2"/>
      <c r="AV24" s="70"/>
      <c r="AW24" s="78"/>
      <c r="AX24" s="2"/>
      <c r="AY24" s="70"/>
      <c r="AZ24" s="78"/>
      <c r="BA24" s="2"/>
      <c r="BB24" s="2"/>
      <c r="BD24" s="2"/>
      <c r="BE24" s="2"/>
      <c r="BF24" s="2"/>
      <c r="BG24" s="2"/>
      <c r="BH24" s="2"/>
      <c r="BI24" s="2"/>
      <c r="BJ24" s="2"/>
      <c r="BK24" s="2"/>
      <c r="BL24" s="2"/>
    </row>
    <row r="25">
      <c r="A25" s="32"/>
      <c r="B25" s="131" t="s">
        <v>114</v>
      </c>
      <c r="C25" s="74"/>
      <c r="D25" s="32"/>
      <c r="E25" s="32"/>
      <c r="F25" s="32"/>
      <c r="G25" s="32"/>
      <c r="H25" s="75"/>
      <c r="I25" s="6">
        <v>51100.0</v>
      </c>
      <c r="J25" s="137">
        <f t="shared" ref="J25:O25" si="22">J24*J19</f>
        <v>1713.6</v>
      </c>
      <c r="K25" s="137">
        <f t="shared" si="22"/>
        <v>1713.6</v>
      </c>
      <c r="L25" s="137">
        <f t="shared" si="22"/>
        <v>55454</v>
      </c>
      <c r="M25" s="137">
        <f t="shared" si="22"/>
        <v>17850</v>
      </c>
      <c r="N25" s="80">
        <f t="shared" si="22"/>
        <v>2130.1</v>
      </c>
      <c r="O25" s="80">
        <f t="shared" si="22"/>
        <v>2130.1</v>
      </c>
      <c r="P25" s="69">
        <v>1400.0</v>
      </c>
      <c r="Q25" s="61">
        <v>8300.0</v>
      </c>
      <c r="R25" s="6"/>
      <c r="S25" s="60"/>
      <c r="T25" s="61">
        <v>700000.0</v>
      </c>
      <c r="U25" s="58"/>
      <c r="V25" s="6" t="s">
        <v>155</v>
      </c>
      <c r="X25" s="2">
        <f t="shared" ref="X25:AA25" si="23">X24*X21</f>
        <v>4199.34</v>
      </c>
      <c r="Y25" s="2">
        <f t="shared" si="23"/>
        <v>2693.6</v>
      </c>
      <c r="Z25" s="2">
        <f t="shared" si="23"/>
        <v>12364</v>
      </c>
      <c r="AA25" s="2">
        <f t="shared" si="23"/>
        <v>3296.8</v>
      </c>
      <c r="AC25" s="2">
        <f t="shared" ref="AC25:AE25" si="24">AC24*AC21</f>
        <v>3315.65</v>
      </c>
      <c r="AD25" s="2">
        <f t="shared" si="24"/>
        <v>3372.16</v>
      </c>
      <c r="AE25" s="2">
        <f t="shared" si="24"/>
        <v>348.46</v>
      </c>
      <c r="AF25" s="7">
        <v>183.0</v>
      </c>
      <c r="AG25" s="2">
        <f t="shared" ref="AG25:AH25" si="25">AG24*AG21</f>
        <v>12188</v>
      </c>
      <c r="AH25" s="2">
        <f t="shared" si="25"/>
        <v>2975.05</v>
      </c>
      <c r="AI25" s="162">
        <v>67000.0</v>
      </c>
      <c r="AJ25" s="163"/>
      <c r="AK25" s="69">
        <f>AK21*AK24</f>
        <v>2280</v>
      </c>
      <c r="AL25" s="7">
        <f>AL24*AL21</f>
        <v>2346</v>
      </c>
      <c r="AM25" s="65">
        <f>SUM(X25:AH25)+AK25+AL25</f>
        <v>49562.06</v>
      </c>
      <c r="AP25" s="2"/>
      <c r="AQ25" s="2"/>
      <c r="AR25" s="130"/>
      <c r="AS25" s="157"/>
      <c r="AT25" s="78"/>
      <c r="AU25" s="2"/>
      <c r="AV25" s="70"/>
      <c r="AW25" s="78"/>
      <c r="AX25" s="2"/>
      <c r="AY25" s="70"/>
      <c r="AZ25" s="78"/>
      <c r="BA25" s="2"/>
      <c r="BB25" s="2"/>
      <c r="BD25" s="2"/>
      <c r="BE25" s="2"/>
      <c r="BF25" s="2"/>
      <c r="BG25" s="2"/>
      <c r="BH25" s="2"/>
      <c r="BI25" s="2"/>
      <c r="BJ25" s="2"/>
      <c r="BK25" s="2"/>
      <c r="BL25" s="2"/>
    </row>
    <row r="26">
      <c r="A26" s="32"/>
      <c r="B26" s="131" t="s">
        <v>115</v>
      </c>
      <c r="C26" s="74"/>
      <c r="D26" s="32"/>
      <c r="E26" s="32"/>
      <c r="F26" s="32"/>
      <c r="G26" s="32"/>
      <c r="H26" s="75"/>
      <c r="I26" s="6">
        <f t="shared" ref="I26:O26" si="26">I25/1000</f>
        <v>51.1</v>
      </c>
      <c r="J26" s="137">
        <f t="shared" si="26"/>
        <v>1.7136</v>
      </c>
      <c r="K26" s="137">
        <f t="shared" si="26"/>
        <v>1.7136</v>
      </c>
      <c r="L26" s="137">
        <f t="shared" si="26"/>
        <v>55.454</v>
      </c>
      <c r="M26" s="137">
        <f t="shared" si="26"/>
        <v>17.85</v>
      </c>
      <c r="N26" s="137">
        <f t="shared" si="26"/>
        <v>2.1301</v>
      </c>
      <c r="O26" s="137">
        <f t="shared" si="26"/>
        <v>2.1301</v>
      </c>
      <c r="P26" s="164">
        <f>P24*P25</f>
        <v>41748</v>
      </c>
      <c r="Q26" s="61">
        <f>Q25/1000</f>
        <v>8.3</v>
      </c>
      <c r="R26" s="6"/>
      <c r="S26" s="60"/>
      <c r="T26" s="61">
        <f>T25/1000</f>
        <v>700</v>
      </c>
      <c r="U26" s="58"/>
      <c r="V26" s="6" t="s">
        <v>156</v>
      </c>
      <c r="W26" s="2"/>
      <c r="X26" s="165">
        <v>5400.0</v>
      </c>
      <c r="Y26" s="166">
        <v>2693.0</v>
      </c>
      <c r="Z26" s="166">
        <v>12366.0</v>
      </c>
      <c r="AA26" s="166">
        <v>3296.0</v>
      </c>
      <c r="AC26" s="166">
        <v>3316.0</v>
      </c>
      <c r="AD26" s="166">
        <v>3372.0</v>
      </c>
      <c r="AE26" s="167">
        <v>550.0</v>
      </c>
      <c r="AF26" s="168">
        <v>183.0</v>
      </c>
      <c r="AG26" s="7">
        <v>12186.0</v>
      </c>
      <c r="AH26" s="7">
        <v>2975.0</v>
      </c>
      <c r="AJ26" s="139"/>
      <c r="AK26" s="169">
        <v>1200.0</v>
      </c>
      <c r="AL26" s="7">
        <v>2300.0</v>
      </c>
      <c r="AM26" s="65">
        <f>AM25/1000</f>
        <v>49.56206</v>
      </c>
      <c r="AP26" s="2"/>
      <c r="AQ26" s="2"/>
      <c r="AR26" s="46"/>
      <c r="AS26" s="135" t="s">
        <v>157</v>
      </c>
      <c r="AT26" s="78"/>
      <c r="AU26" s="2"/>
      <c r="AV26" s="70"/>
      <c r="AW26" s="78"/>
      <c r="AX26" s="2"/>
      <c r="AY26" s="70"/>
      <c r="AZ26" s="78"/>
      <c r="BA26" s="2"/>
      <c r="BB26" s="2"/>
      <c r="BD26" s="2"/>
      <c r="BE26" s="2"/>
      <c r="BF26" s="2"/>
      <c r="BG26" s="2"/>
      <c r="BH26" s="2"/>
      <c r="BI26" s="2"/>
      <c r="BJ26" s="2"/>
      <c r="BK26" s="2"/>
      <c r="BL26" s="2"/>
    </row>
    <row r="27">
      <c r="A27" s="32"/>
      <c r="B27" s="131" t="s">
        <v>158</v>
      </c>
      <c r="C27" s="74"/>
      <c r="D27" s="32"/>
      <c r="E27" s="32"/>
      <c r="F27" s="32"/>
      <c r="G27" s="32"/>
      <c r="H27" s="75"/>
      <c r="I27" s="170">
        <f>I24*I21</f>
        <v>46872</v>
      </c>
      <c r="J27" s="80"/>
      <c r="K27" s="80"/>
      <c r="L27" s="80"/>
      <c r="M27" s="80"/>
      <c r="N27" s="80"/>
      <c r="O27" s="80"/>
      <c r="P27" s="171">
        <f>P26/1000</f>
        <v>41.748</v>
      </c>
      <c r="Q27" s="61"/>
      <c r="R27" s="6"/>
      <c r="S27" s="60"/>
      <c r="T27" s="61">
        <f>T21*T24</f>
        <v>696134.6</v>
      </c>
      <c r="U27" s="146"/>
      <c r="V27" s="32"/>
      <c r="W27" s="158"/>
      <c r="X27" s="1"/>
      <c r="Y27" s="1"/>
      <c r="Z27" s="1"/>
      <c r="AA27" s="1"/>
      <c r="AB27" s="1"/>
      <c r="AC27" s="1"/>
      <c r="AD27" s="1"/>
      <c r="AE27" s="1"/>
      <c r="AF27" s="1"/>
      <c r="AG27" s="1"/>
      <c r="AH27" s="1"/>
      <c r="AJ27" s="139"/>
      <c r="AK27" s="139"/>
      <c r="AM27" s="65"/>
      <c r="AP27" s="2"/>
      <c r="AQ27" s="2"/>
      <c r="AR27" s="157"/>
      <c r="AS27" s="157"/>
      <c r="AT27" s="78"/>
      <c r="AU27" s="2"/>
      <c r="AV27" s="70"/>
      <c r="AW27" s="78"/>
      <c r="AX27" s="2"/>
      <c r="AY27" s="70"/>
      <c r="AZ27" s="78"/>
      <c r="BA27" s="2"/>
      <c r="BB27" s="2"/>
      <c r="BC27" s="2"/>
      <c r="BD27" s="2"/>
      <c r="BE27" s="2"/>
      <c r="BF27" s="2"/>
      <c r="BG27" s="2"/>
      <c r="BH27" s="2"/>
      <c r="BI27" s="2"/>
      <c r="BJ27" s="2"/>
      <c r="BK27" s="2"/>
      <c r="BL27" s="2"/>
    </row>
    <row r="28">
      <c r="A28" s="32"/>
      <c r="B28" s="131" t="s">
        <v>159</v>
      </c>
      <c r="C28" s="74"/>
      <c r="D28" s="32"/>
      <c r="E28" s="32"/>
      <c r="F28" s="32"/>
      <c r="G28" s="32"/>
      <c r="H28" s="75"/>
      <c r="I28" s="32">
        <v>51.1</v>
      </c>
      <c r="J28" s="80"/>
      <c r="K28" s="80"/>
      <c r="L28" s="80"/>
      <c r="M28" s="80"/>
      <c r="N28" s="80"/>
      <c r="O28" s="80"/>
      <c r="P28" s="172">
        <v>32.0</v>
      </c>
      <c r="Q28" s="61"/>
      <c r="R28" s="6"/>
      <c r="S28" s="6"/>
      <c r="T28" s="61">
        <v>700.0</v>
      </c>
      <c r="U28" s="173"/>
      <c r="AJ28" s="139"/>
      <c r="AK28" s="139"/>
      <c r="AM28" s="174"/>
      <c r="AN28" s="162"/>
      <c r="AO28" s="141"/>
      <c r="AP28" s="2"/>
      <c r="AQ28" s="2"/>
      <c r="AR28" s="157"/>
      <c r="AS28" s="157"/>
      <c r="AT28" s="78"/>
      <c r="AU28" s="2"/>
      <c r="AV28" s="70"/>
      <c r="AW28" s="78"/>
      <c r="AX28" s="2"/>
      <c r="AY28" s="70"/>
      <c r="AZ28" s="78"/>
      <c r="BA28" s="2"/>
      <c r="BB28" s="2"/>
      <c r="BC28" s="2"/>
      <c r="BD28" s="2"/>
      <c r="BE28" s="2"/>
      <c r="BF28" s="2"/>
      <c r="BG28" s="2"/>
      <c r="BH28" s="2"/>
      <c r="BI28" s="2"/>
      <c r="BJ28" s="2"/>
      <c r="BK28" s="2"/>
      <c r="BL28" s="2"/>
    </row>
    <row r="29">
      <c r="A29" s="72"/>
      <c r="B29" s="131" t="s">
        <v>116</v>
      </c>
      <c r="C29" s="175"/>
      <c r="D29" s="104"/>
      <c r="E29" s="104"/>
      <c r="F29" s="104"/>
      <c r="G29" s="104"/>
      <c r="H29" s="176"/>
      <c r="I29" s="177" t="s">
        <v>160</v>
      </c>
      <c r="J29" s="98"/>
      <c r="K29" s="98"/>
      <c r="L29" s="98"/>
      <c r="M29" s="98"/>
      <c r="N29" s="98"/>
      <c r="O29" s="98"/>
      <c r="P29" s="101" t="s">
        <v>161</v>
      </c>
      <c r="Q29" s="178" t="s">
        <v>162</v>
      </c>
      <c r="R29" s="98"/>
      <c r="S29" s="113"/>
      <c r="T29" s="101" t="s">
        <v>163</v>
      </c>
      <c r="U29" s="179"/>
      <c r="V29" s="6"/>
      <c r="W29" s="177" t="s">
        <v>164</v>
      </c>
      <c r="X29" s="99"/>
      <c r="Y29" s="99"/>
      <c r="Z29" s="99"/>
      <c r="AA29" s="99"/>
      <c r="AB29" s="99"/>
      <c r="AC29" s="99"/>
      <c r="AD29" s="99"/>
      <c r="AE29" s="99"/>
      <c r="AF29" s="99"/>
      <c r="AG29" s="99"/>
      <c r="AH29" s="99"/>
      <c r="AI29" s="177"/>
      <c r="AJ29" s="101"/>
      <c r="AK29" s="101"/>
      <c r="AL29" s="6"/>
      <c r="AM29" s="180"/>
      <c r="AO29" s="113"/>
      <c r="AP29" s="113"/>
      <c r="AQ29" s="113"/>
      <c r="AR29" s="180"/>
      <c r="AS29" s="181"/>
      <c r="AT29" s="112"/>
      <c r="AU29" s="113"/>
      <c r="AV29" s="114"/>
      <c r="AW29" s="112"/>
      <c r="AX29" s="113"/>
      <c r="AY29" s="114"/>
      <c r="AZ29" s="2"/>
      <c r="BA29" s="2"/>
      <c r="BB29" s="2"/>
      <c r="BC29" s="2"/>
      <c r="BD29" s="2"/>
      <c r="BE29" s="2"/>
      <c r="BF29" s="2"/>
      <c r="BG29" s="2"/>
      <c r="BH29" s="2"/>
      <c r="BI29" s="2"/>
      <c r="BJ29" s="2"/>
      <c r="BK29" s="2"/>
      <c r="BL29" s="2"/>
    </row>
    <row r="30">
      <c r="A30" s="72"/>
      <c r="B30" s="182"/>
      <c r="C30" s="90"/>
      <c r="D30" s="72"/>
      <c r="E30" s="72"/>
      <c r="F30" s="72"/>
      <c r="G30" s="72"/>
      <c r="H30" s="91"/>
      <c r="I30" s="80"/>
      <c r="J30" s="80"/>
      <c r="K30" s="80"/>
      <c r="L30" s="80"/>
      <c r="M30" s="80"/>
      <c r="N30" s="80"/>
      <c r="O30" s="80"/>
      <c r="P30" s="81"/>
      <c r="Q30" s="82"/>
      <c r="R30" s="80"/>
      <c r="S30" s="92"/>
      <c r="T30" s="82"/>
      <c r="U30" s="58"/>
      <c r="V30" s="36"/>
      <c r="W30" s="80"/>
      <c r="X30" s="2"/>
      <c r="Y30" s="2"/>
      <c r="Z30" s="2"/>
      <c r="AA30" s="2"/>
      <c r="AB30" s="2"/>
      <c r="AC30" s="2"/>
      <c r="AD30" s="2"/>
      <c r="AE30" s="2"/>
      <c r="AF30" s="2"/>
      <c r="AG30" s="2"/>
      <c r="AH30" s="35"/>
      <c r="AI30" s="2"/>
      <c r="AJ30" s="2"/>
      <c r="AK30" s="2"/>
      <c r="AL30" s="183"/>
      <c r="AM30" s="67"/>
      <c r="AN30" s="35"/>
      <c r="AO30" s="2"/>
      <c r="AP30" s="2"/>
      <c r="AQ30" s="2"/>
      <c r="AR30" s="70"/>
      <c r="AS30" s="2"/>
      <c r="AT30" s="78"/>
      <c r="AU30" s="2"/>
      <c r="AV30" s="70"/>
      <c r="AW30" s="78"/>
      <c r="AX30" s="2"/>
      <c r="AY30" s="70"/>
      <c r="AZ30" s="78"/>
      <c r="BA30" s="2"/>
      <c r="BB30" s="2"/>
      <c r="BC30" s="2"/>
      <c r="BD30" s="2"/>
      <c r="BE30" s="2"/>
      <c r="BF30" s="2"/>
      <c r="BG30" s="2"/>
      <c r="BH30" s="2"/>
      <c r="BI30" s="2"/>
      <c r="BJ30" s="2"/>
      <c r="BK30" s="2"/>
      <c r="BL30" s="2"/>
    </row>
    <row r="31">
      <c r="A31" s="115"/>
      <c r="B31" s="125" t="s">
        <v>165</v>
      </c>
      <c r="C31" s="55"/>
      <c r="D31" s="2" t="s">
        <v>14</v>
      </c>
      <c r="E31" s="2" t="s">
        <v>15</v>
      </c>
      <c r="F31" s="2" t="s">
        <v>16</v>
      </c>
      <c r="G31" s="6" t="s">
        <v>121</v>
      </c>
      <c r="H31" s="126" t="s">
        <v>122</v>
      </c>
      <c r="I31" s="80"/>
      <c r="J31" s="80"/>
      <c r="K31" s="80"/>
      <c r="L31" s="80"/>
      <c r="M31" s="80"/>
      <c r="N31" s="80"/>
      <c r="O31" s="80"/>
      <c r="P31" s="81"/>
      <c r="Q31" s="82"/>
      <c r="R31" s="80"/>
      <c r="S31" s="92"/>
      <c r="T31" s="82"/>
      <c r="U31" s="173"/>
      <c r="AI31" s="2"/>
      <c r="AJ31" s="2"/>
      <c r="AK31" s="2"/>
      <c r="AL31" s="70"/>
      <c r="AM31" s="67"/>
      <c r="AN31" s="2"/>
      <c r="AO31" s="2"/>
      <c r="AP31" s="2"/>
      <c r="AQ31" s="2"/>
      <c r="AR31" s="70"/>
      <c r="AS31" s="2"/>
      <c r="AT31" s="78"/>
      <c r="AU31" s="2"/>
      <c r="AV31" s="70"/>
      <c r="AW31" s="78"/>
      <c r="AX31" s="2"/>
      <c r="AY31" s="70"/>
      <c r="AZ31" s="78"/>
      <c r="BA31" s="2"/>
      <c r="BB31" s="2"/>
      <c r="BC31" s="2"/>
      <c r="BD31" s="2"/>
      <c r="BE31" s="2"/>
      <c r="BF31" s="2"/>
      <c r="BG31" s="2"/>
      <c r="BH31" s="2"/>
      <c r="BI31" s="2"/>
      <c r="BJ31" s="2"/>
      <c r="BK31" s="2"/>
      <c r="BL31" s="2"/>
    </row>
    <row r="32">
      <c r="A32" s="72"/>
      <c r="B32" s="184" t="s">
        <v>129</v>
      </c>
      <c r="C32" s="55" t="s">
        <v>47</v>
      </c>
      <c r="D32" s="2">
        <f t="shared" ref="D32:E32" si="27">8548/1000</f>
        <v>8.548</v>
      </c>
      <c r="E32" s="132">
        <f t="shared" si="27"/>
        <v>8.548</v>
      </c>
      <c r="F32" s="2">
        <f>7900/1000</f>
        <v>7.9</v>
      </c>
      <c r="G32" s="2">
        <f t="shared" ref="G32:G34" si="28">D32*E32*F32</f>
        <v>577.2396016</v>
      </c>
      <c r="H32" s="75">
        <f>G32</f>
        <v>577.2396016</v>
      </c>
      <c r="I32" s="6" t="s">
        <v>166</v>
      </c>
      <c r="J32" s="6" t="s">
        <v>167</v>
      </c>
      <c r="K32" s="137" t="s">
        <v>167</v>
      </c>
      <c r="L32" s="6" t="s">
        <v>167</v>
      </c>
      <c r="M32" s="6" t="s">
        <v>134</v>
      </c>
      <c r="N32" s="6" t="s">
        <v>167</v>
      </c>
      <c r="O32" s="137" t="s">
        <v>167</v>
      </c>
      <c r="P32" s="61" t="s">
        <v>166</v>
      </c>
      <c r="Q32" s="61" t="s">
        <v>168</v>
      </c>
      <c r="R32" s="6" t="s">
        <v>168</v>
      </c>
      <c r="S32" s="60"/>
      <c r="T32" s="6" t="s">
        <v>169</v>
      </c>
      <c r="U32" s="173"/>
      <c r="AL32" s="47"/>
      <c r="AM32" s="68"/>
      <c r="AN32" s="7"/>
      <c r="AO32" s="2"/>
      <c r="AP32" s="2"/>
      <c r="AQ32" s="2"/>
      <c r="AR32" s="2"/>
      <c r="AS32" s="83"/>
      <c r="AT32" s="2"/>
      <c r="AU32" s="2"/>
      <c r="AV32" s="2"/>
      <c r="AW32" s="78"/>
      <c r="AX32" s="2"/>
      <c r="AY32" s="70"/>
      <c r="AZ32" s="78"/>
      <c r="BA32" s="2"/>
      <c r="BB32" s="2"/>
      <c r="BC32" s="2"/>
      <c r="BD32" s="2"/>
      <c r="BE32" s="2"/>
      <c r="BF32" s="2"/>
      <c r="BG32" s="2"/>
      <c r="BH32" s="2"/>
      <c r="BI32" s="2"/>
      <c r="BJ32" s="2"/>
      <c r="BK32" s="2"/>
      <c r="BL32" s="2"/>
    </row>
    <row r="33">
      <c r="A33" s="72"/>
      <c r="B33" s="185"/>
      <c r="C33" s="55" t="s">
        <v>50</v>
      </c>
      <c r="D33" s="2">
        <f>10148/1000</f>
        <v>10.148</v>
      </c>
      <c r="E33" s="2">
        <v>10.148</v>
      </c>
      <c r="F33" s="2">
        <f>9500/1000</f>
        <v>9.5</v>
      </c>
      <c r="G33" s="2">
        <f t="shared" si="28"/>
        <v>978.328088</v>
      </c>
      <c r="H33" s="75">
        <f t="shared" ref="H33:H34" si="29">G33-G32</f>
        <v>401.0884864</v>
      </c>
      <c r="I33" s="6" t="s">
        <v>170</v>
      </c>
      <c r="J33" s="6" t="s">
        <v>171</v>
      </c>
      <c r="K33" s="6" t="s">
        <v>172</v>
      </c>
      <c r="L33" s="6" t="s">
        <v>173</v>
      </c>
      <c r="M33" s="2"/>
      <c r="N33" s="6" t="s">
        <v>174</v>
      </c>
      <c r="O33" s="6" t="s">
        <v>175</v>
      </c>
      <c r="P33" s="58" t="s">
        <v>176</v>
      </c>
      <c r="Q33" s="61" t="s">
        <v>177</v>
      </c>
      <c r="R33" s="6" t="s">
        <v>178</v>
      </c>
      <c r="S33" s="60" t="s">
        <v>179</v>
      </c>
      <c r="T33" s="61" t="s">
        <v>180</v>
      </c>
      <c r="U33" s="173"/>
      <c r="AL33" s="47"/>
      <c r="AM33" s="67"/>
      <c r="AN33" s="2"/>
      <c r="AO33" s="2"/>
      <c r="AP33" s="2"/>
      <c r="AQ33" s="2"/>
      <c r="AR33" s="2"/>
      <c r="AS33" s="83"/>
      <c r="AT33" s="2"/>
      <c r="AU33" s="2"/>
      <c r="AV33" s="2"/>
      <c r="AW33" s="78"/>
      <c r="AX33" s="2"/>
      <c r="AY33" s="70"/>
      <c r="AZ33" s="78"/>
      <c r="BA33" s="2"/>
      <c r="BB33" s="2"/>
      <c r="BC33" s="2"/>
      <c r="BD33" s="2"/>
      <c r="BE33" s="2"/>
      <c r="BF33" s="2"/>
      <c r="BG33" s="2"/>
      <c r="BH33" s="2"/>
      <c r="BI33" s="2"/>
      <c r="BJ33" s="2"/>
      <c r="BK33" s="2"/>
      <c r="BL33" s="2"/>
    </row>
    <row r="34">
      <c r="A34" s="32"/>
      <c r="B34" s="186" t="s">
        <v>46</v>
      </c>
      <c r="C34" s="55" t="s">
        <v>80</v>
      </c>
      <c r="D34" s="2">
        <f>11410/1000</f>
        <v>11.41</v>
      </c>
      <c r="E34" s="2">
        <v>11.41</v>
      </c>
      <c r="F34" s="2">
        <f>10760/1000</f>
        <v>10.76</v>
      </c>
      <c r="G34" s="2">
        <f t="shared" si="28"/>
        <v>1400.823956</v>
      </c>
      <c r="H34" s="75">
        <f t="shared" si="29"/>
        <v>422.495868</v>
      </c>
      <c r="I34" s="6">
        <v>33.48</v>
      </c>
      <c r="J34" s="2"/>
      <c r="K34" s="2"/>
      <c r="L34" s="6">
        <f>39.47+M35</f>
        <v>46.59</v>
      </c>
      <c r="M34" s="6">
        <f>SUM(L34,M35)</f>
        <v>53.71</v>
      </c>
      <c r="N34" s="6"/>
      <c r="O34" s="57"/>
      <c r="P34" s="187">
        <v>80.0</v>
      </c>
      <c r="Q34" s="61">
        <v>80.0</v>
      </c>
      <c r="R34" s="6"/>
      <c r="S34" s="60"/>
      <c r="T34" s="61">
        <v>577.239</v>
      </c>
      <c r="U34" s="173"/>
      <c r="AL34" s="47"/>
      <c r="AM34" s="188"/>
      <c r="AN34" s="32"/>
      <c r="AO34" s="32"/>
      <c r="AP34" s="32"/>
      <c r="AQ34" s="32"/>
      <c r="AR34" s="32"/>
      <c r="AS34" s="69"/>
      <c r="AT34" s="78"/>
      <c r="AU34" s="7"/>
      <c r="AV34" s="70"/>
      <c r="AW34" s="78"/>
      <c r="AX34" s="2"/>
      <c r="AY34" s="70"/>
      <c r="AZ34" s="78"/>
      <c r="BA34" s="2"/>
      <c r="BB34" s="2"/>
      <c r="BC34" s="2"/>
      <c r="BD34" s="2"/>
      <c r="BE34" s="2"/>
      <c r="BF34" s="2"/>
      <c r="BG34" s="2"/>
      <c r="BH34" s="2"/>
      <c r="BI34" s="2"/>
      <c r="BJ34" s="2"/>
      <c r="BK34" s="2"/>
      <c r="BL34" s="2"/>
    </row>
    <row r="35">
      <c r="A35" s="32"/>
      <c r="B35" s="184" t="s">
        <v>181</v>
      </c>
      <c r="C35" s="74"/>
      <c r="D35" s="32"/>
      <c r="E35" s="32"/>
      <c r="F35" s="32"/>
      <c r="G35" s="32"/>
      <c r="H35" s="75"/>
      <c r="I35" s="6" t="s">
        <v>182</v>
      </c>
      <c r="J35" s="6" t="s">
        <v>148</v>
      </c>
      <c r="K35" s="6" t="s">
        <v>148</v>
      </c>
      <c r="L35" s="6" t="s">
        <v>183</v>
      </c>
      <c r="M35" s="6">
        <f>0.89*8</f>
        <v>7.12</v>
      </c>
      <c r="N35" s="6" t="s">
        <v>55</v>
      </c>
      <c r="O35" s="57" t="s">
        <v>56</v>
      </c>
      <c r="P35" s="187" t="s">
        <v>184</v>
      </c>
      <c r="Q35" s="61" t="s">
        <v>185</v>
      </c>
      <c r="R35" s="6"/>
      <c r="S35" s="60"/>
      <c r="T35" s="61" t="s">
        <v>186</v>
      </c>
      <c r="U35" s="173"/>
      <c r="AL35" s="47"/>
      <c r="AM35" s="68"/>
      <c r="AN35" s="7"/>
      <c r="AO35" s="7"/>
      <c r="AP35" s="7"/>
      <c r="AQ35" s="7"/>
      <c r="AR35" s="7"/>
      <c r="AS35" s="78"/>
      <c r="AT35" s="78"/>
      <c r="AU35" s="7"/>
      <c r="AV35" s="70"/>
      <c r="AW35" s="78"/>
      <c r="AX35" s="2"/>
      <c r="AY35" s="70"/>
      <c r="AZ35" s="78"/>
      <c r="BA35" s="2"/>
      <c r="BB35" s="2"/>
      <c r="BC35" s="2"/>
      <c r="BD35" s="2"/>
      <c r="BE35" s="2"/>
      <c r="BF35" s="2"/>
      <c r="BG35" s="2"/>
      <c r="BH35" s="2"/>
      <c r="BI35" s="2"/>
      <c r="BJ35" s="2"/>
      <c r="BK35" s="2"/>
      <c r="BL35" s="2"/>
    </row>
    <row r="36">
      <c r="A36" s="32"/>
      <c r="B36" s="184" t="s">
        <v>112</v>
      </c>
      <c r="C36" s="74"/>
      <c r="D36" s="32"/>
      <c r="E36" s="32"/>
      <c r="F36" s="32"/>
      <c r="G36" s="32"/>
      <c r="H36" s="75"/>
      <c r="I36" s="6">
        <v>33.48</v>
      </c>
      <c r="J36" s="6">
        <v>1.44</v>
      </c>
      <c r="K36" s="6">
        <v>1.44</v>
      </c>
      <c r="L36" s="6">
        <f>L34-I34-J36-K36</f>
        <v>10.23</v>
      </c>
      <c r="M36" s="6" t="s">
        <v>149</v>
      </c>
      <c r="N36" s="6">
        <v>1.79</v>
      </c>
      <c r="O36" s="6">
        <v>1.79</v>
      </c>
      <c r="P36" s="58">
        <f>P34-L34-N36-O36</f>
        <v>29.83</v>
      </c>
      <c r="Q36" s="61">
        <v>1.05</v>
      </c>
      <c r="R36" s="6">
        <f>0.39*2</f>
        <v>0.78</v>
      </c>
      <c r="S36" s="60"/>
      <c r="T36" s="61">
        <f>T34-Q34-R36</f>
        <v>496.459</v>
      </c>
      <c r="U36" s="173"/>
      <c r="AL36" s="47"/>
      <c r="AM36" s="67"/>
      <c r="AN36" s="2"/>
      <c r="AO36" s="2"/>
      <c r="AP36" s="2"/>
      <c r="AQ36" s="2"/>
      <c r="AR36" s="70"/>
      <c r="AS36" s="2"/>
      <c r="AT36" s="78"/>
      <c r="AU36" s="2"/>
      <c r="AV36" s="70"/>
      <c r="AW36" s="78"/>
      <c r="AX36" s="2"/>
      <c r="AY36" s="70"/>
      <c r="AZ36" s="78"/>
      <c r="BA36" s="2"/>
      <c r="BB36" s="2"/>
      <c r="BC36" s="2"/>
      <c r="BD36" s="2"/>
      <c r="BE36" s="2"/>
      <c r="BF36" s="2"/>
      <c r="BG36" s="2"/>
      <c r="BH36" s="2"/>
      <c r="BI36" s="2"/>
      <c r="BJ36" s="2"/>
      <c r="BK36" s="2"/>
      <c r="BL36" s="2"/>
    </row>
    <row r="37">
      <c r="A37" s="32"/>
      <c r="B37" s="184" t="s">
        <v>113</v>
      </c>
      <c r="C37" s="85"/>
      <c r="D37" s="86"/>
      <c r="E37" s="86"/>
      <c r="F37" s="86"/>
      <c r="G37" s="86"/>
      <c r="H37" s="87"/>
      <c r="I37" s="86">
        <v>1400.0</v>
      </c>
      <c r="J37" s="159">
        <v>1190.0</v>
      </c>
      <c r="K37" s="159">
        <v>1190.0</v>
      </c>
      <c r="L37" s="32">
        <v>1190.0</v>
      </c>
      <c r="M37" s="32">
        <v>1190.0</v>
      </c>
      <c r="N37" s="6">
        <v>1190.0</v>
      </c>
      <c r="O37" s="6">
        <v>1190.0</v>
      </c>
      <c r="P37" s="88">
        <v>1400.0</v>
      </c>
      <c r="Q37" s="61">
        <v>4500.0</v>
      </c>
      <c r="R37" s="6">
        <v>4500.0</v>
      </c>
      <c r="S37" s="60"/>
      <c r="T37" s="89">
        <v>1400.0</v>
      </c>
      <c r="U37" s="173"/>
      <c r="AL37" s="47"/>
      <c r="AM37" s="67"/>
      <c r="AN37" s="2"/>
      <c r="AO37" s="2"/>
      <c r="AP37" s="2"/>
      <c r="AQ37" s="2"/>
      <c r="AR37" s="70"/>
      <c r="AS37" s="2"/>
      <c r="AT37" s="78"/>
      <c r="AU37" s="2"/>
      <c r="AV37" s="70"/>
      <c r="AW37" s="78"/>
      <c r="AX37" s="2"/>
      <c r="AY37" s="70"/>
      <c r="AZ37" s="78"/>
      <c r="BA37" s="2"/>
      <c r="BB37" s="2"/>
      <c r="BC37" s="2"/>
      <c r="BD37" s="2"/>
      <c r="BE37" s="2"/>
      <c r="BF37" s="2"/>
      <c r="BG37" s="2"/>
      <c r="BH37" s="2"/>
      <c r="BI37" s="2"/>
      <c r="BJ37" s="2"/>
      <c r="BK37" s="2"/>
      <c r="BL37" s="2"/>
    </row>
    <row r="38">
      <c r="A38" s="32"/>
      <c r="B38" s="184" t="s">
        <v>114</v>
      </c>
      <c r="C38" s="74"/>
      <c r="D38" s="32"/>
      <c r="E38" s="32"/>
      <c r="F38" s="32"/>
      <c r="G38" s="32"/>
      <c r="H38" s="75"/>
      <c r="I38" s="170">
        <f>I36*I37</f>
        <v>46872</v>
      </c>
      <c r="J38" s="6">
        <f t="shared" ref="J38:K38" si="30">J37*J36</f>
        <v>1713.6</v>
      </c>
      <c r="K38" s="6">
        <f t="shared" si="30"/>
        <v>1713.6</v>
      </c>
      <c r="L38" s="80">
        <f>L36*L37</f>
        <v>12173.7</v>
      </c>
      <c r="M38" s="6">
        <f>M37*M35</f>
        <v>8472.8</v>
      </c>
      <c r="N38" s="80">
        <f t="shared" ref="N38:O38" si="31">N37*N36</f>
        <v>2130.1</v>
      </c>
      <c r="O38" s="80">
        <f t="shared" si="31"/>
        <v>2130.1</v>
      </c>
      <c r="P38" s="171">
        <f t="shared" ref="P38:R38" si="32">P36*P37</f>
        <v>41762</v>
      </c>
      <c r="Q38" s="82">
        <f t="shared" si="32"/>
        <v>4725</v>
      </c>
      <c r="R38" s="6">
        <f t="shared" si="32"/>
        <v>3510</v>
      </c>
      <c r="S38" s="6">
        <f>sum(R38,Q38)</f>
        <v>8235</v>
      </c>
      <c r="T38" s="61">
        <f>T36*T37</f>
        <v>695042.6</v>
      </c>
      <c r="U38" s="173"/>
      <c r="AL38" s="47"/>
      <c r="AM38" s="67"/>
      <c r="AN38" s="2"/>
      <c r="AO38" s="2"/>
      <c r="AP38" s="2"/>
      <c r="AQ38" s="2"/>
      <c r="AR38" s="70"/>
      <c r="AS38" s="2"/>
      <c r="AT38" s="78"/>
      <c r="AU38" s="2"/>
      <c r="AV38" s="66"/>
      <c r="AW38" s="69"/>
      <c r="AX38" s="7"/>
      <c r="AY38" s="70"/>
      <c r="AZ38" s="78"/>
      <c r="BA38" s="2"/>
      <c r="BB38" s="2"/>
      <c r="BC38" s="2"/>
      <c r="BD38" s="2"/>
      <c r="BE38" s="2"/>
      <c r="BF38" s="2"/>
      <c r="BG38" s="2"/>
      <c r="BH38" s="2"/>
      <c r="BI38" s="2"/>
      <c r="BJ38" s="2"/>
      <c r="BK38" s="2"/>
      <c r="BL38" s="2"/>
    </row>
    <row r="39">
      <c r="A39" s="32"/>
      <c r="B39" s="189" t="s">
        <v>187</v>
      </c>
      <c r="C39" s="175"/>
      <c r="D39" s="104"/>
      <c r="E39" s="104"/>
      <c r="F39" s="104"/>
      <c r="G39" s="104"/>
      <c r="H39" s="176"/>
      <c r="I39" s="177">
        <v>51.1</v>
      </c>
      <c r="J39" s="177"/>
      <c r="K39" s="177"/>
      <c r="L39" s="98"/>
      <c r="M39" s="177"/>
      <c r="N39" s="98"/>
      <c r="O39" s="98"/>
      <c r="P39" s="179">
        <v>32.0</v>
      </c>
      <c r="Q39" s="98"/>
      <c r="R39" s="177"/>
      <c r="S39" s="177"/>
      <c r="T39" s="101"/>
      <c r="U39" s="190"/>
      <c r="V39" s="106"/>
      <c r="W39" s="106"/>
      <c r="X39" s="106"/>
      <c r="Y39" s="106"/>
      <c r="Z39" s="106"/>
      <c r="AA39" s="106"/>
      <c r="AB39" s="106"/>
      <c r="AC39" s="106"/>
      <c r="AD39" s="106"/>
      <c r="AE39" s="106"/>
      <c r="AF39" s="106"/>
      <c r="AG39" s="106"/>
      <c r="AH39" s="106"/>
      <c r="AI39" s="106"/>
      <c r="AL39" s="47"/>
      <c r="AM39" s="191"/>
      <c r="AN39" s="113"/>
      <c r="AO39" s="113"/>
      <c r="AP39" s="113"/>
      <c r="AQ39" s="113"/>
      <c r="AR39" s="113"/>
      <c r="AS39" s="192"/>
      <c r="AT39" s="113"/>
      <c r="AU39" s="113"/>
      <c r="AV39" s="193"/>
      <c r="AW39" s="194"/>
      <c r="AX39" s="193"/>
      <c r="AY39" s="114"/>
      <c r="AZ39" s="2"/>
      <c r="BA39" s="2"/>
      <c r="BB39" s="2"/>
      <c r="BC39" s="2"/>
      <c r="BD39" s="2"/>
      <c r="BE39" s="2"/>
      <c r="BF39" s="2"/>
      <c r="BG39" s="2"/>
      <c r="BH39" s="2"/>
      <c r="BI39" s="2"/>
      <c r="BJ39" s="2"/>
      <c r="BK39" s="2"/>
      <c r="BL39" s="2"/>
    </row>
    <row r="40">
      <c r="A40" s="195"/>
      <c r="B40" s="196"/>
      <c r="C40" s="197"/>
      <c r="D40" s="198"/>
      <c r="E40" s="198"/>
      <c r="F40" s="198"/>
      <c r="G40" s="198"/>
      <c r="H40" s="199"/>
      <c r="I40" s="200" t="s">
        <v>188</v>
      </c>
      <c r="J40" s="201"/>
      <c r="K40" s="202"/>
      <c r="L40" s="203"/>
      <c r="M40" s="203"/>
      <c r="N40" s="203"/>
      <c r="O40" s="203"/>
      <c r="P40" s="204"/>
      <c r="Q40" s="205" t="s">
        <v>189</v>
      </c>
      <c r="R40" s="206" t="s">
        <v>190</v>
      </c>
      <c r="S40" s="207" t="s">
        <v>191</v>
      </c>
      <c r="T40" s="203"/>
      <c r="U40" s="208"/>
      <c r="V40" s="209"/>
      <c r="W40" s="210" t="s">
        <v>192</v>
      </c>
      <c r="X40" s="211" t="s">
        <v>88</v>
      </c>
      <c r="Y40" s="212" t="s">
        <v>89</v>
      </c>
      <c r="Z40" s="212" t="s">
        <v>90</v>
      </c>
      <c r="AA40" s="211" t="s">
        <v>91</v>
      </c>
      <c r="AB40" s="209"/>
      <c r="AC40" s="211" t="s">
        <v>92</v>
      </c>
      <c r="AD40" s="211" t="s">
        <v>93</v>
      </c>
      <c r="AE40" s="211" t="s">
        <v>94</v>
      </c>
      <c r="AF40" s="209"/>
      <c r="AG40" s="211" t="s">
        <v>95</v>
      </c>
      <c r="AH40" s="211" t="s">
        <v>96</v>
      </c>
      <c r="AI40" s="211" t="s">
        <v>97</v>
      </c>
      <c r="AJ40" s="213" t="s">
        <v>193</v>
      </c>
      <c r="AK40" s="214" t="s">
        <v>118</v>
      </c>
      <c r="AL40" s="215"/>
      <c r="AM40" s="67"/>
      <c r="AN40" s="44" t="s">
        <v>125</v>
      </c>
      <c r="AO40" s="7" t="s">
        <v>126</v>
      </c>
      <c r="AP40" s="44" t="s">
        <v>194</v>
      </c>
      <c r="AQ40" s="44"/>
      <c r="AR40" s="2"/>
      <c r="AS40" s="83"/>
      <c r="AT40" s="2"/>
      <c r="AU40" s="2"/>
      <c r="AV40" s="2"/>
      <c r="AW40" s="78"/>
      <c r="AX40" s="2"/>
      <c r="AY40" s="70"/>
      <c r="AZ40" s="78"/>
      <c r="BA40" s="2"/>
      <c r="BB40" s="2"/>
      <c r="BC40" s="2"/>
      <c r="BD40" s="2"/>
      <c r="BE40" s="2"/>
      <c r="BF40" s="2"/>
      <c r="BG40" s="2"/>
      <c r="BH40" s="2"/>
      <c r="BI40" s="2"/>
      <c r="BJ40" s="2"/>
      <c r="BK40" s="2"/>
      <c r="BL40" s="2"/>
    </row>
    <row r="41">
      <c r="A41" s="216"/>
      <c r="B41" s="217" t="s">
        <v>195</v>
      </c>
      <c r="C41" s="218"/>
      <c r="D41" s="211"/>
      <c r="E41" s="203"/>
      <c r="F41" s="203"/>
      <c r="G41" s="212"/>
      <c r="H41" s="219"/>
      <c r="I41" s="211" t="s">
        <v>196</v>
      </c>
      <c r="J41" s="212" t="s">
        <v>171</v>
      </c>
      <c r="K41" s="212" t="s">
        <v>172</v>
      </c>
      <c r="L41" s="210" t="s">
        <v>197</v>
      </c>
      <c r="M41" s="212" t="s">
        <v>198</v>
      </c>
      <c r="N41" s="212" t="s">
        <v>174</v>
      </c>
      <c r="O41" s="212" t="s">
        <v>175</v>
      </c>
      <c r="P41" s="220" t="s">
        <v>199</v>
      </c>
      <c r="Q41" s="203"/>
      <c r="R41" s="211">
        <v>103.39</v>
      </c>
      <c r="S41" s="221">
        <f>Q47/R41</f>
        <v>0.01768921559</v>
      </c>
      <c r="T41" s="212" t="s">
        <v>169</v>
      </c>
      <c r="U41" s="208"/>
      <c r="V41" s="212"/>
      <c r="W41" s="209"/>
      <c r="X41" s="209"/>
      <c r="Y41" s="209"/>
      <c r="Z41" s="209"/>
      <c r="AA41" s="209"/>
      <c r="AB41" s="209"/>
      <c r="AC41" s="209"/>
      <c r="AD41" s="209"/>
      <c r="AE41" s="209"/>
      <c r="AF41" s="209"/>
      <c r="AG41" s="209"/>
      <c r="AH41" s="209"/>
      <c r="AI41" s="209"/>
      <c r="AJ41" s="209"/>
      <c r="AK41" s="222"/>
      <c r="AL41" s="223" t="s">
        <v>124</v>
      </c>
      <c r="AM41" s="65"/>
      <c r="AR41" s="2"/>
      <c r="AS41" s="224">
        <f>SUM(AS42,AM43,T43)</f>
        <v>1024.654661</v>
      </c>
      <c r="AT41" s="2"/>
      <c r="AU41" s="2"/>
      <c r="AV41" s="2"/>
      <c r="AW41" s="78"/>
      <c r="AX41" s="2"/>
      <c r="AY41" s="70"/>
      <c r="AZ41" s="78"/>
      <c r="BA41" s="2"/>
      <c r="BB41" s="2"/>
      <c r="BC41" s="2"/>
      <c r="BD41" s="2"/>
      <c r="BE41" s="2"/>
      <c r="BF41" s="2"/>
      <c r="BG41" s="2"/>
      <c r="BH41" s="2"/>
      <c r="BI41" s="2"/>
      <c r="BJ41" s="2"/>
      <c r="BK41" s="2"/>
      <c r="BL41" s="2"/>
    </row>
    <row r="42">
      <c r="A42" s="216"/>
      <c r="B42" s="225" t="s">
        <v>129</v>
      </c>
      <c r="C42" s="218"/>
      <c r="D42" s="211"/>
      <c r="E42" s="211"/>
      <c r="F42" s="203"/>
      <c r="G42" s="203"/>
      <c r="H42" s="199"/>
      <c r="I42" s="212" t="s">
        <v>166</v>
      </c>
      <c r="J42" s="212" t="s">
        <v>167</v>
      </c>
      <c r="K42" s="206" t="s">
        <v>167</v>
      </c>
      <c r="L42" s="212" t="s">
        <v>167</v>
      </c>
      <c r="M42" s="212"/>
      <c r="N42" s="212" t="s">
        <v>167</v>
      </c>
      <c r="O42" s="206" t="s">
        <v>167</v>
      </c>
      <c r="P42" s="220"/>
      <c r="Q42" s="212"/>
      <c r="R42" s="203"/>
      <c r="S42" s="226"/>
      <c r="T42" s="196" t="s">
        <v>180</v>
      </c>
      <c r="U42" s="227"/>
      <c r="V42" s="209"/>
      <c r="W42" s="203"/>
      <c r="X42" s="212" t="s">
        <v>137</v>
      </c>
      <c r="Y42" s="212" t="s">
        <v>35</v>
      </c>
      <c r="Z42" s="212" t="s">
        <v>138</v>
      </c>
      <c r="AA42" s="212" t="s">
        <v>35</v>
      </c>
      <c r="AB42" s="203"/>
      <c r="AC42" s="212" t="s">
        <v>35</v>
      </c>
      <c r="AD42" s="212" t="s">
        <v>138</v>
      </c>
      <c r="AE42" s="212" t="s">
        <v>139</v>
      </c>
      <c r="AF42" s="212" t="s">
        <v>140</v>
      </c>
      <c r="AG42" s="212" t="s">
        <v>138</v>
      </c>
      <c r="AH42" s="212" t="s">
        <v>33</v>
      </c>
      <c r="AI42" s="212" t="s">
        <v>38</v>
      </c>
      <c r="AJ42" s="212"/>
      <c r="AK42" s="228"/>
      <c r="AL42" s="221"/>
      <c r="AM42" s="67"/>
      <c r="AN42" s="147">
        <f>AL42+AN44</f>
        <v>21.1247934</v>
      </c>
      <c r="AO42" s="147">
        <f>AN42+AO44</f>
        <v>422.495868</v>
      </c>
      <c r="AR42" s="2"/>
      <c r="AS42" s="83">
        <f>SUM(AN42:AO42)</f>
        <v>443.6206614</v>
      </c>
      <c r="AT42" s="2"/>
      <c r="AU42" s="2"/>
      <c r="AV42" s="2"/>
      <c r="AW42" s="78"/>
      <c r="AX42" s="2"/>
      <c r="AY42" s="70"/>
      <c r="AZ42" s="78"/>
      <c r="BA42" s="2"/>
      <c r="BB42" s="2"/>
      <c r="BC42" s="2"/>
      <c r="BD42" s="2"/>
      <c r="BE42" s="2"/>
      <c r="BF42" s="2"/>
      <c r="BG42" s="2"/>
      <c r="BH42" s="2"/>
      <c r="BI42" s="2"/>
      <c r="BJ42" s="2"/>
      <c r="BK42" s="2"/>
      <c r="BL42" s="2"/>
    </row>
    <row r="43">
      <c r="A43" s="216"/>
      <c r="B43" s="229" t="s">
        <v>142</v>
      </c>
      <c r="C43" s="218"/>
      <c r="D43" s="203"/>
      <c r="E43" s="203"/>
      <c r="F43" s="203"/>
      <c r="G43" s="203"/>
      <c r="H43" s="199"/>
      <c r="I43" s="211"/>
      <c r="J43" s="203"/>
      <c r="K43" s="203"/>
      <c r="L43" s="211">
        <v>47.37</v>
      </c>
      <c r="M43" s="211"/>
      <c r="N43" s="203"/>
      <c r="O43" s="203"/>
      <c r="P43" s="220">
        <v>80.0</v>
      </c>
      <c r="Q43" s="196">
        <f>80+1.828888</f>
        <v>81.828888</v>
      </c>
      <c r="R43" s="203"/>
      <c r="S43" s="226"/>
      <c r="T43" s="211">
        <v>581.034</v>
      </c>
      <c r="U43" s="230"/>
      <c r="V43" s="203"/>
      <c r="W43" s="203"/>
      <c r="X43" s="203">
        <f>Y43-Y45-W45</f>
        <v>581.7259446</v>
      </c>
      <c r="Y43" s="211">
        <f t="shared" ref="Y43:Z43" si="33">Z43-Z45</f>
        <v>640.4977846</v>
      </c>
      <c r="Z43" s="203">
        <f t="shared" si="33"/>
        <v>788.7593864</v>
      </c>
      <c r="AA43" s="203">
        <f>AC43-AC45</f>
        <v>793.9542948</v>
      </c>
      <c r="AB43" s="203"/>
      <c r="AC43" s="203">
        <f t="shared" ref="AC43:AD43" si="34">AD43-AD45</f>
        <v>799.1708507</v>
      </c>
      <c r="AD43" s="203">
        <f t="shared" si="34"/>
        <v>838.0909886</v>
      </c>
      <c r="AE43" s="231">
        <f>AG43-AG45</f>
        <v>838.3603941</v>
      </c>
      <c r="AF43" s="203"/>
      <c r="AG43" s="231">
        <f t="shared" ref="AG43:AH43" si="35">AH43-AH45</f>
        <v>975.6012654</v>
      </c>
      <c r="AH43" s="231">
        <f t="shared" si="35"/>
        <v>980.0584161</v>
      </c>
      <c r="AI43" s="231">
        <v>985.9935153618</v>
      </c>
      <c r="AJ43" s="211"/>
      <c r="AK43" s="232"/>
      <c r="AL43" s="233">
        <f>AI43+AL45</f>
        <v>986.2935154</v>
      </c>
      <c r="AM43" s="65"/>
      <c r="AN43" s="148">
        <v>0.031</v>
      </c>
      <c r="AO43" s="138">
        <f>AP43-AN43</f>
        <v>0.6</v>
      </c>
      <c r="AP43" s="149">
        <v>0.631</v>
      </c>
      <c r="AQ43" s="149"/>
      <c r="AR43" s="2"/>
      <c r="AS43" s="83"/>
      <c r="AT43" s="2"/>
      <c r="AU43" s="2"/>
      <c r="AV43" s="2"/>
      <c r="AW43" s="78"/>
      <c r="AX43" s="2"/>
      <c r="AY43" s="70"/>
      <c r="AZ43" s="78"/>
      <c r="BA43" s="2"/>
      <c r="BB43" s="2"/>
      <c r="BC43" s="2"/>
      <c r="BD43" s="2"/>
      <c r="BE43" s="2"/>
      <c r="BF43" s="2"/>
      <c r="BG43" s="2"/>
      <c r="BH43" s="2"/>
      <c r="BI43" s="2"/>
      <c r="BJ43" s="2"/>
      <c r="BK43" s="2"/>
      <c r="BL43" s="2"/>
    </row>
    <row r="44">
      <c r="A44" s="216"/>
      <c r="B44" s="234" t="s">
        <v>144</v>
      </c>
      <c r="C44" s="218"/>
      <c r="D44" s="203"/>
      <c r="E44" s="203"/>
      <c r="F44" s="203"/>
      <c r="G44" s="203"/>
      <c r="H44" s="199"/>
      <c r="I44" s="211"/>
      <c r="J44" s="203"/>
      <c r="K44" s="203"/>
      <c r="L44" s="211"/>
      <c r="M44" s="211"/>
      <c r="N44" s="203"/>
      <c r="O44" s="203"/>
      <c r="P44" s="220"/>
      <c r="Q44" s="196">
        <v>0.01768</v>
      </c>
      <c r="R44" s="203"/>
      <c r="S44" s="226"/>
      <c r="T44" s="196"/>
      <c r="U44" s="230"/>
      <c r="V44" s="211" t="s">
        <v>200</v>
      </c>
      <c r="W44" s="211">
        <v>800.0</v>
      </c>
      <c r="X44" s="198">
        <v>0.0012</v>
      </c>
      <c r="Y44" s="198">
        <v>0.012</v>
      </c>
      <c r="Z44" s="198">
        <v>0.366</v>
      </c>
      <c r="AA44" s="198">
        <v>0.012</v>
      </c>
      <c r="AB44" s="203"/>
      <c r="AC44" s="198">
        <v>0.012</v>
      </c>
      <c r="AD44" s="198">
        <v>0.088</v>
      </c>
      <c r="AE44" s="198">
        <v>6.0E-4</v>
      </c>
      <c r="AF44" s="211" t="s">
        <v>145</v>
      </c>
      <c r="AG44" s="198">
        <v>0.291</v>
      </c>
      <c r="AH44" s="198">
        <v>0.009</v>
      </c>
      <c r="AI44" s="203">
        <f>10/1000</f>
        <v>0.01</v>
      </c>
      <c r="AJ44" s="203"/>
      <c r="AK44" s="235"/>
      <c r="AL44" s="236">
        <v>0.02</v>
      </c>
      <c r="AM44" s="65">
        <f>SUM(AI44,AH44,AG44,AE44,AD44,AC44,AA44,Z44,Y44,X44,)</f>
        <v>0.8018</v>
      </c>
      <c r="AN44" s="154">
        <v>21.1247934</v>
      </c>
      <c r="AO44" s="44">
        <v>401.3710746</v>
      </c>
      <c r="AR44" s="2"/>
      <c r="AS44" s="83"/>
      <c r="AT44" s="2"/>
      <c r="AU44" s="2"/>
      <c r="AV44" s="2"/>
      <c r="AW44" s="78"/>
      <c r="AX44" s="2"/>
      <c r="AY44" s="70"/>
      <c r="AZ44" s="78"/>
      <c r="BA44" s="2"/>
      <c r="BB44" s="2"/>
      <c r="BC44" s="2"/>
      <c r="BD44" s="2"/>
      <c r="BE44" s="2"/>
      <c r="BF44" s="2"/>
      <c r="BG44" s="2"/>
      <c r="BH44" s="2"/>
      <c r="BI44" s="2"/>
      <c r="BJ44" s="2"/>
      <c r="BK44" s="2"/>
      <c r="BL44" s="2"/>
    </row>
    <row r="45">
      <c r="A45" s="216"/>
      <c r="B45" s="225"/>
      <c r="C45" s="237"/>
      <c r="D45" s="238"/>
      <c r="E45" s="238"/>
      <c r="F45" s="238"/>
      <c r="G45" s="238"/>
      <c r="H45" s="239"/>
      <c r="I45" s="211"/>
      <c r="J45" s="211"/>
      <c r="K45" s="211"/>
      <c r="L45" s="212"/>
      <c r="M45" s="211"/>
      <c r="N45" s="212"/>
      <c r="O45" s="212"/>
      <c r="P45" s="220"/>
      <c r="Q45" s="196"/>
      <c r="R45" s="203"/>
      <c r="S45" s="221"/>
      <c r="T45" s="196"/>
      <c r="U45" s="208"/>
      <c r="V45" s="198" t="s">
        <v>154</v>
      </c>
      <c r="W45" s="238">
        <v>54.2376</v>
      </c>
      <c r="X45" s="211">
        <v>0.556181597727971</v>
      </c>
      <c r="Y45" s="211">
        <v>4.5342400041601</v>
      </c>
      <c r="Z45" s="211">
        <v>148.26160178688</v>
      </c>
      <c r="AA45" s="203">
        <v>5.19490840416006</v>
      </c>
      <c r="AB45" s="203"/>
      <c r="AC45" s="203">
        <v>5.216555924159934</v>
      </c>
      <c r="AD45" s="203">
        <v>38.92013784383994</v>
      </c>
      <c r="AE45" s="203">
        <v>0.2694055548720371</v>
      </c>
      <c r="AF45" s="240"/>
      <c r="AG45" s="203">
        <v>137.2408712322001</v>
      </c>
      <c r="AH45" s="211">
        <v>4.45715076779993</v>
      </c>
      <c r="AI45" s="211">
        <v>5.935099218</v>
      </c>
      <c r="AJ45" s="211"/>
      <c r="AK45" s="235"/>
      <c r="AL45" s="211">
        <v>0.3</v>
      </c>
      <c r="AM45" s="65"/>
      <c r="AP45" s="2">
        <f>AM44+AN44+AO44</f>
        <v>423.297668</v>
      </c>
      <c r="AQ45" s="2"/>
      <c r="AR45" s="2"/>
      <c r="AS45" s="83"/>
      <c r="AT45" s="2"/>
      <c r="AU45" s="2"/>
      <c r="AV45" s="2"/>
      <c r="AW45" s="78"/>
      <c r="AX45" s="2"/>
      <c r="AY45" s="70"/>
      <c r="AZ45" s="78"/>
      <c r="BA45" s="2"/>
      <c r="BB45" s="2"/>
      <c r="BC45" s="2"/>
      <c r="BD45" s="2"/>
      <c r="BE45" s="2"/>
      <c r="BF45" s="2"/>
      <c r="BG45" s="2"/>
      <c r="BH45" s="2"/>
      <c r="BI45" s="2"/>
      <c r="BJ45" s="2"/>
      <c r="BK45" s="2"/>
      <c r="BL45" s="2"/>
    </row>
    <row r="46">
      <c r="A46" s="216"/>
      <c r="B46" s="225" t="s">
        <v>201</v>
      </c>
      <c r="C46" s="237"/>
      <c r="D46" s="238"/>
      <c r="E46" s="238"/>
      <c r="F46" s="238"/>
      <c r="G46" s="238"/>
      <c r="H46" s="239"/>
      <c r="I46" s="211" t="s">
        <v>202</v>
      </c>
      <c r="J46" s="211" t="s">
        <v>203</v>
      </c>
      <c r="K46" s="211" t="s">
        <v>203</v>
      </c>
      <c r="L46" s="212" t="s">
        <v>204</v>
      </c>
      <c r="M46" s="211"/>
      <c r="N46" s="212" t="s">
        <v>205</v>
      </c>
      <c r="O46" s="212" t="s">
        <v>205</v>
      </c>
      <c r="P46" s="220" t="s">
        <v>206</v>
      </c>
      <c r="Q46" s="196" t="s">
        <v>207</v>
      </c>
      <c r="R46" s="203"/>
      <c r="S46" s="221"/>
      <c r="T46" s="196" t="s">
        <v>208</v>
      </c>
      <c r="U46" s="208"/>
      <c r="V46" s="210" t="s">
        <v>209</v>
      </c>
      <c r="W46" s="241" t="s">
        <v>210</v>
      </c>
      <c r="X46" s="242" t="s">
        <v>211</v>
      </c>
      <c r="Y46" s="242" t="s">
        <v>212</v>
      </c>
      <c r="Z46" s="242" t="s">
        <v>213</v>
      </c>
      <c r="AA46" s="242" t="s">
        <v>214</v>
      </c>
      <c r="AB46" s="243"/>
      <c r="AC46" s="242" t="s">
        <v>215</v>
      </c>
      <c r="AD46" s="241" t="s">
        <v>216</v>
      </c>
      <c r="AE46" s="241" t="s">
        <v>217</v>
      </c>
      <c r="AF46" s="243"/>
      <c r="AG46" s="241" t="s">
        <v>218</v>
      </c>
      <c r="AH46" s="244" t="s">
        <v>219</v>
      </c>
      <c r="AI46" s="241" t="s">
        <v>220</v>
      </c>
      <c r="AJ46" s="211"/>
      <c r="AK46" s="228"/>
      <c r="AL46" s="203"/>
      <c r="AM46" s="65"/>
      <c r="AP46" s="2"/>
      <c r="AQ46" s="2"/>
      <c r="AR46" s="2"/>
      <c r="AS46" s="83"/>
      <c r="AT46" s="2"/>
      <c r="AU46" s="2"/>
      <c r="AV46" s="2"/>
      <c r="AW46" s="78"/>
      <c r="AX46" s="2"/>
      <c r="AY46" s="70"/>
      <c r="AZ46" s="78"/>
      <c r="BA46" s="2"/>
      <c r="BB46" s="2"/>
      <c r="BC46" s="2"/>
      <c r="BD46" s="2"/>
      <c r="BE46" s="2"/>
      <c r="BF46" s="2"/>
      <c r="BG46" s="2"/>
      <c r="BH46" s="2"/>
      <c r="BI46" s="2"/>
      <c r="BJ46" s="2"/>
      <c r="BK46" s="2"/>
      <c r="BL46" s="2"/>
    </row>
    <row r="47">
      <c r="A47" s="216"/>
      <c r="B47" s="225" t="s">
        <v>221</v>
      </c>
      <c r="C47" s="237"/>
      <c r="D47" s="238"/>
      <c r="E47" s="238"/>
      <c r="F47" s="238"/>
      <c r="G47" s="238"/>
      <c r="H47" s="239"/>
      <c r="I47" s="211">
        <v>36.5</v>
      </c>
      <c r="J47" s="212">
        <v>1.57</v>
      </c>
      <c r="K47" s="212">
        <v>1.57</v>
      </c>
      <c r="L47" s="211">
        <f>L43-K47-J47-I47</f>
        <v>7.73</v>
      </c>
      <c r="M47" s="211">
        <v>0.07</v>
      </c>
      <c r="N47" s="211">
        <v>1.88</v>
      </c>
      <c r="O47" s="211">
        <v>1.88</v>
      </c>
      <c r="P47" s="204">
        <f>80-SUM(I47:O47)</f>
        <v>28.8</v>
      </c>
      <c r="Q47" s="196">
        <f>Q43-P43</f>
        <v>1.828888</v>
      </c>
      <c r="R47" s="211"/>
      <c r="S47" s="221"/>
      <c r="T47" s="196">
        <f>T43-Q43</f>
        <v>499.205112</v>
      </c>
      <c r="U47" s="208"/>
      <c r="V47" s="212" t="s">
        <v>146</v>
      </c>
      <c r="W47" s="211">
        <v>57.0</v>
      </c>
      <c r="X47" s="211">
        <v>0.537</v>
      </c>
      <c r="Y47" s="211">
        <v>4.144</v>
      </c>
      <c r="Z47" s="211">
        <v>140.5</v>
      </c>
      <c r="AA47" s="211">
        <v>5.072</v>
      </c>
      <c r="AB47" s="203"/>
      <c r="AC47" s="211">
        <v>5.101</v>
      </c>
      <c r="AD47" s="211">
        <v>38.32</v>
      </c>
      <c r="AE47" s="211">
        <v>0.262</v>
      </c>
      <c r="AF47" s="211"/>
      <c r="AG47" s="211">
        <v>138.5</v>
      </c>
      <c r="AH47" s="211">
        <v>4.577</v>
      </c>
      <c r="AI47" s="245">
        <f>AI49/AI48</f>
        <v>8.57</v>
      </c>
      <c r="AJ47" s="245"/>
      <c r="AK47" s="235"/>
      <c r="AL47" s="236">
        <v>0.3</v>
      </c>
      <c r="AM47" s="65">
        <f>SUM(X47:AH47)+AK47+AL47</f>
        <v>337.313</v>
      </c>
      <c r="AN47" s="44">
        <v>7820.0</v>
      </c>
      <c r="AP47" s="7"/>
      <c r="AQ47" s="7"/>
      <c r="AR47" s="2"/>
      <c r="AS47" s="83"/>
      <c r="AT47" s="2"/>
      <c r="AU47" s="2"/>
      <c r="AV47" s="2"/>
      <c r="AW47" s="78"/>
      <c r="AX47" s="2"/>
      <c r="AY47" s="70"/>
      <c r="AZ47" s="78"/>
      <c r="BA47" s="2"/>
      <c r="BB47" s="2"/>
      <c r="BC47" s="2"/>
      <c r="BD47" s="2"/>
      <c r="BE47" s="2"/>
      <c r="BF47" s="2"/>
      <c r="BG47" s="2"/>
      <c r="BH47" s="2"/>
      <c r="BI47" s="2"/>
      <c r="BJ47" s="2"/>
      <c r="BK47" s="2"/>
      <c r="BL47" s="2"/>
    </row>
    <row r="48">
      <c r="A48" s="216"/>
      <c r="B48" s="225" t="s">
        <v>113</v>
      </c>
      <c r="C48" s="197"/>
      <c r="D48" s="198"/>
      <c r="E48" s="198"/>
      <c r="F48" s="198"/>
      <c r="G48" s="198"/>
      <c r="H48" s="199"/>
      <c r="I48" s="212">
        <v>1400.0</v>
      </c>
      <c r="J48" s="206">
        <v>1190.0</v>
      </c>
      <c r="K48" s="206">
        <v>1190.0</v>
      </c>
      <c r="L48" s="211">
        <v>4500.0</v>
      </c>
      <c r="M48" s="206"/>
      <c r="N48" s="206">
        <v>1190.0</v>
      </c>
      <c r="O48" s="206">
        <v>1190.0</v>
      </c>
      <c r="P48" s="220">
        <v>1400.0</v>
      </c>
      <c r="Q48" s="196">
        <v>4500.0</v>
      </c>
      <c r="R48" s="211"/>
      <c r="S48" s="221"/>
      <c r="T48" s="246">
        <v>1400.0</v>
      </c>
      <c r="U48" s="208"/>
      <c r="V48" s="198" t="s">
        <v>222</v>
      </c>
      <c r="W48" s="238">
        <v>40.0</v>
      </c>
      <c r="X48" s="211">
        <v>7820.0</v>
      </c>
      <c r="Y48" s="211">
        <v>650.0</v>
      </c>
      <c r="Z48" s="211">
        <v>88.0</v>
      </c>
      <c r="AA48" s="211">
        <v>650.0</v>
      </c>
      <c r="AB48" s="203"/>
      <c r="AC48" s="211">
        <v>650.0</v>
      </c>
      <c r="AD48" s="211">
        <v>88.0</v>
      </c>
      <c r="AE48" s="211">
        <v>1330.0</v>
      </c>
      <c r="AF48" s="203"/>
      <c r="AG48" s="211">
        <v>88.0</v>
      </c>
      <c r="AH48" s="211">
        <v>650.0</v>
      </c>
      <c r="AI48" s="211">
        <v>7820.0</v>
      </c>
      <c r="AJ48" s="211"/>
      <c r="AK48" s="228"/>
      <c r="AL48" s="236">
        <v>7820.0</v>
      </c>
      <c r="AM48" s="65"/>
      <c r="AN48" s="147">
        <f>AN44*AN47</f>
        <v>165195.8844</v>
      </c>
      <c r="AP48" s="2"/>
      <c r="AQ48" s="2"/>
      <c r="AR48" s="2"/>
      <c r="AS48" s="83"/>
      <c r="AT48" s="2"/>
      <c r="AU48" s="2"/>
      <c r="AV48" s="2"/>
      <c r="AW48" s="78"/>
      <c r="AX48" s="2"/>
      <c r="AY48" s="70"/>
      <c r="AZ48" s="78"/>
      <c r="BA48" s="2"/>
      <c r="BB48" s="2"/>
      <c r="BC48" s="2"/>
      <c r="BD48" s="2"/>
      <c r="BE48" s="2"/>
      <c r="BF48" s="2"/>
      <c r="BG48" s="2"/>
      <c r="BH48" s="2"/>
      <c r="BI48" s="2"/>
      <c r="BJ48" s="2"/>
      <c r="BK48" s="2"/>
      <c r="BL48" s="2"/>
    </row>
    <row r="49">
      <c r="A49" s="216"/>
      <c r="B49" s="225" t="s">
        <v>114</v>
      </c>
      <c r="C49" s="247"/>
      <c r="D49" s="240"/>
      <c r="E49" s="240"/>
      <c r="F49" s="240"/>
      <c r="G49" s="240"/>
      <c r="H49" s="248"/>
      <c r="I49" s="203">
        <f>I47*I48</f>
        <v>51100</v>
      </c>
      <c r="J49" s="206">
        <f t="shared" ref="J49:L49" si="36">J48*J47</f>
        <v>1868.3</v>
      </c>
      <c r="K49" s="211">
        <f t="shared" si="36"/>
        <v>1868.3</v>
      </c>
      <c r="L49" s="203">
        <f t="shared" si="36"/>
        <v>34785</v>
      </c>
      <c r="M49" s="206"/>
      <c r="N49" s="211">
        <f t="shared" ref="N49:O49" si="37">N48*N47</f>
        <v>2237.2</v>
      </c>
      <c r="O49" s="211">
        <f t="shared" si="37"/>
        <v>2237.2</v>
      </c>
      <c r="P49" s="204">
        <f t="shared" ref="P49:Q49" si="38">P47*P48</f>
        <v>40320</v>
      </c>
      <c r="Q49" s="249">
        <f t="shared" si="38"/>
        <v>8229.996</v>
      </c>
      <c r="R49" s="250"/>
      <c r="S49" s="203"/>
      <c r="T49" s="196">
        <f>T47*T48</f>
        <v>698887.1568</v>
      </c>
      <c r="U49" s="251"/>
      <c r="V49" s="196" t="s">
        <v>155</v>
      </c>
      <c r="W49" s="211">
        <v>2300.0</v>
      </c>
      <c r="X49" s="203">
        <f t="shared" ref="X49:AA49" si="39">X48*X47</f>
        <v>4199.34</v>
      </c>
      <c r="Y49" s="203">
        <f t="shared" si="39"/>
        <v>2693.6</v>
      </c>
      <c r="Z49" s="203">
        <f t="shared" si="39"/>
        <v>12364</v>
      </c>
      <c r="AA49" s="203">
        <f t="shared" si="39"/>
        <v>3296.8</v>
      </c>
      <c r="AB49" s="203"/>
      <c r="AC49" s="203">
        <f t="shared" ref="AC49:AE49" si="40">AC48*AC47</f>
        <v>3315.65</v>
      </c>
      <c r="AD49" s="203">
        <f t="shared" si="40"/>
        <v>3372.16</v>
      </c>
      <c r="AE49" s="203">
        <f t="shared" si="40"/>
        <v>348.46</v>
      </c>
      <c r="AF49" s="211">
        <v>183.0</v>
      </c>
      <c r="AG49" s="203">
        <f>AG44*AG47</f>
        <v>40.3035</v>
      </c>
      <c r="AH49" s="203">
        <f>AH47*AH48</f>
        <v>2975.05</v>
      </c>
      <c r="AI49" s="203">
        <f>8.57*7820</f>
        <v>67017.4</v>
      </c>
      <c r="AJ49" s="203"/>
      <c r="AK49" s="235"/>
      <c r="AL49" s="236">
        <f>AL48*AL47</f>
        <v>2346</v>
      </c>
      <c r="AM49" s="65"/>
      <c r="AN49" s="147">
        <f>AN48/1000</f>
        <v>165.1958844</v>
      </c>
      <c r="AP49" s="2"/>
      <c r="AQ49" s="2"/>
      <c r="AR49" s="2"/>
      <c r="AS49" s="83"/>
      <c r="AT49" s="2"/>
      <c r="AU49" s="2"/>
      <c r="AV49" s="2"/>
      <c r="AW49" s="78"/>
      <c r="AX49" s="2"/>
      <c r="AY49" s="70"/>
      <c r="AZ49" s="78"/>
      <c r="BA49" s="2"/>
      <c r="BB49" s="2"/>
      <c r="BC49" s="2"/>
      <c r="BD49" s="2"/>
      <c r="BE49" s="2"/>
      <c r="BF49" s="2"/>
      <c r="BG49" s="2"/>
      <c r="BH49" s="2"/>
      <c r="BI49" s="2"/>
      <c r="BJ49" s="2"/>
      <c r="BK49" s="2"/>
      <c r="BL49" s="2"/>
    </row>
    <row r="50">
      <c r="A50" s="216"/>
      <c r="B50" s="225"/>
      <c r="C50" s="247"/>
      <c r="D50" s="240"/>
      <c r="E50" s="240"/>
      <c r="F50" s="240"/>
      <c r="G50" s="240"/>
      <c r="H50" s="248"/>
      <c r="I50" s="203"/>
      <c r="J50" s="206"/>
      <c r="K50" s="211"/>
      <c r="L50" s="203"/>
      <c r="M50" s="206"/>
      <c r="N50" s="211"/>
      <c r="O50" s="211"/>
      <c r="P50" s="228"/>
      <c r="Q50" s="249"/>
      <c r="R50" s="250"/>
      <c r="S50" s="203"/>
      <c r="T50" s="212"/>
      <c r="U50" s="251"/>
      <c r="V50" s="212"/>
      <c r="W50" s="211"/>
      <c r="X50" s="203"/>
      <c r="Y50" s="203"/>
      <c r="Z50" s="203"/>
      <c r="AA50" s="203"/>
      <c r="AB50" s="203"/>
      <c r="AC50" s="203"/>
      <c r="AD50" s="203"/>
      <c r="AE50" s="203"/>
      <c r="AF50" s="211"/>
      <c r="AG50" s="203"/>
      <c r="AH50" s="203"/>
      <c r="AI50" s="203"/>
      <c r="AJ50" s="203"/>
      <c r="AK50" s="235"/>
      <c r="AL50" s="236"/>
      <c r="AM50" s="67"/>
      <c r="AP50" s="2"/>
      <c r="AQ50" s="2"/>
      <c r="AR50" s="2"/>
      <c r="AS50" s="83"/>
      <c r="AT50" s="2"/>
      <c r="AU50" s="2"/>
      <c r="AV50" s="2"/>
      <c r="AW50" s="78"/>
      <c r="AX50" s="2"/>
      <c r="AY50" s="70"/>
      <c r="AZ50" s="2"/>
      <c r="BA50" s="2"/>
      <c r="BB50" s="2"/>
      <c r="BC50" s="2"/>
      <c r="BD50" s="2"/>
      <c r="BE50" s="2"/>
      <c r="BF50" s="2"/>
      <c r="BG50" s="2"/>
      <c r="BH50" s="2"/>
      <c r="BI50" s="2"/>
      <c r="BJ50" s="2"/>
      <c r="BK50" s="2"/>
      <c r="BL50" s="2"/>
    </row>
    <row r="51">
      <c r="A51" s="252"/>
      <c r="B51" s="253" t="s">
        <v>223</v>
      </c>
      <c r="C51" s="254"/>
      <c r="D51" s="255"/>
      <c r="E51" s="255"/>
      <c r="F51" s="255"/>
      <c r="G51" s="255"/>
      <c r="H51" s="256"/>
      <c r="I51" s="257">
        <f t="shared" ref="I51:L51" si="41">I49/1000</f>
        <v>51.1</v>
      </c>
      <c r="J51" s="258">
        <f t="shared" si="41"/>
        <v>1.8683</v>
      </c>
      <c r="K51" s="258">
        <f t="shared" si="41"/>
        <v>1.8683</v>
      </c>
      <c r="L51" s="257">
        <f t="shared" si="41"/>
        <v>34.785</v>
      </c>
      <c r="M51" s="258"/>
      <c r="N51" s="258">
        <f t="shared" ref="N51:Q51" si="42">N49/1000</f>
        <v>2.2372</v>
      </c>
      <c r="O51" s="258">
        <f t="shared" si="42"/>
        <v>2.2372</v>
      </c>
      <c r="P51" s="259">
        <f t="shared" si="42"/>
        <v>40.32</v>
      </c>
      <c r="Q51" s="260">
        <f t="shared" si="42"/>
        <v>8.229996</v>
      </c>
      <c r="R51" s="257"/>
      <c r="S51" s="261"/>
      <c r="T51" s="257">
        <f>T49/1000</f>
        <v>698.8871568</v>
      </c>
      <c r="U51" s="262"/>
      <c r="V51" s="263" t="s">
        <v>224</v>
      </c>
      <c r="W51" s="257">
        <f t="shared" ref="W51:AA51" si="43">W45*W48</f>
        <v>2169.504</v>
      </c>
      <c r="X51" s="257">
        <f t="shared" si="43"/>
        <v>4349.340094</v>
      </c>
      <c r="Y51" s="257">
        <f t="shared" si="43"/>
        <v>2947.256003</v>
      </c>
      <c r="Z51" s="257">
        <f t="shared" si="43"/>
        <v>13047.02096</v>
      </c>
      <c r="AA51" s="257">
        <f t="shared" si="43"/>
        <v>3376.690463</v>
      </c>
      <c r="AB51" s="257"/>
      <c r="AC51" s="257">
        <f t="shared" ref="AC51:AE51" si="44">AC45*AC48</f>
        <v>3390.761351</v>
      </c>
      <c r="AD51" s="257">
        <f t="shared" si="44"/>
        <v>3424.97213</v>
      </c>
      <c r="AE51" s="257">
        <f t="shared" si="44"/>
        <v>358.309388</v>
      </c>
      <c r="AF51" s="257"/>
      <c r="AG51" s="257">
        <f t="shared" ref="AG51:AI51" si="45">AG45*AG48</f>
        <v>12077.19667</v>
      </c>
      <c r="AH51" s="257">
        <f t="shared" si="45"/>
        <v>2897.147999</v>
      </c>
      <c r="AI51" s="257">
        <f t="shared" si="45"/>
        <v>46412.47588</v>
      </c>
      <c r="AJ51" s="257">
        <f>SUM(X51:AH51)/1000</f>
        <v>45.86869505</v>
      </c>
      <c r="AK51" s="259"/>
      <c r="AL51" s="261"/>
      <c r="AM51" s="191"/>
      <c r="AN51" s="113"/>
      <c r="AO51" s="113"/>
      <c r="AP51" s="113"/>
      <c r="AQ51" s="113"/>
      <c r="AR51" s="113"/>
      <c r="AS51" s="192"/>
      <c r="AT51" s="113"/>
      <c r="AU51" s="113"/>
      <c r="AV51" s="113"/>
      <c r="AW51" s="112"/>
      <c r="AX51" s="113"/>
      <c r="AY51" s="114"/>
      <c r="AZ51" s="2"/>
      <c r="BA51" s="2"/>
      <c r="BB51" s="2"/>
      <c r="BC51" s="2"/>
      <c r="BD51" s="2"/>
      <c r="BE51" s="2"/>
      <c r="BF51" s="2"/>
      <c r="BG51" s="2"/>
      <c r="BH51" s="2"/>
      <c r="BI51" s="2"/>
      <c r="BJ51" s="2"/>
      <c r="BK51" s="2"/>
      <c r="BL51" s="2"/>
    </row>
    <row r="52">
      <c r="A52" s="1"/>
      <c r="B52" s="2"/>
      <c r="C52" s="2"/>
      <c r="D52" s="2"/>
      <c r="E52" s="2"/>
      <c r="F52" s="2"/>
      <c r="G52" s="2"/>
      <c r="H52" s="2"/>
      <c r="I52" s="2"/>
      <c r="J52" s="2"/>
      <c r="K52" s="2"/>
      <c r="L52" s="2"/>
      <c r="M52" s="2"/>
      <c r="N52" s="2"/>
      <c r="O52" s="2"/>
      <c r="P52" s="2"/>
      <c r="Q52" s="2"/>
      <c r="R52" s="7">
        <v>858.0</v>
      </c>
      <c r="S52" s="7">
        <v>858.0</v>
      </c>
      <c r="T52" s="7">
        <v>790.0</v>
      </c>
      <c r="U52" s="2">
        <f>510.075+0.3</f>
        <v>510.375</v>
      </c>
      <c r="V52" s="2"/>
      <c r="X52" s="79"/>
      <c r="Y52" s="2"/>
      <c r="Z52" s="2"/>
      <c r="AB52" s="44" t="s">
        <v>14</v>
      </c>
      <c r="AC52" s="44" t="s">
        <v>15</v>
      </c>
      <c r="AD52" s="44" t="s">
        <v>16</v>
      </c>
      <c r="AE52" s="264" t="s">
        <v>225</v>
      </c>
      <c r="AF52" s="265" t="s">
        <v>226</v>
      </c>
      <c r="AG52" s="265" t="s">
        <v>227</v>
      </c>
      <c r="AH52" s="44" t="s">
        <v>228</v>
      </c>
      <c r="AI52" s="44" t="s">
        <v>229</v>
      </c>
      <c r="AJ52" s="44" t="s">
        <v>230</v>
      </c>
      <c r="AK52" s="3"/>
      <c r="AL52" s="7"/>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row>
    <row r="53">
      <c r="A53" s="1"/>
      <c r="C53" s="2"/>
      <c r="D53" s="2"/>
      <c r="E53" s="2"/>
      <c r="F53" s="2"/>
      <c r="G53" s="2"/>
      <c r="H53" s="2"/>
      <c r="I53" s="7"/>
      <c r="J53" s="2"/>
      <c r="K53" s="2"/>
      <c r="L53" s="2"/>
      <c r="M53" s="2"/>
      <c r="N53" s="2"/>
      <c r="O53" s="2"/>
      <c r="P53" s="2"/>
      <c r="Q53" s="2"/>
      <c r="R53" s="2">
        <f>(R52*S52*T52)/1000000</f>
        <v>581.56956</v>
      </c>
      <c r="S53" s="2"/>
      <c r="T53" s="2"/>
      <c r="U53" s="2"/>
      <c r="V53" s="2"/>
      <c r="X53" s="79">
        <f>375+0.12</f>
        <v>375.12</v>
      </c>
      <c r="Y53" s="266">
        <v>1017.6</v>
      </c>
      <c r="Z53" s="267"/>
      <c r="AA53" s="268" t="s">
        <v>231</v>
      </c>
      <c r="AB53" s="269">
        <f>509.025*2</f>
        <v>1018.05</v>
      </c>
      <c r="AC53" s="269">
        <f>(509.025+510.075)</f>
        <v>1019.1</v>
      </c>
      <c r="AD53" s="128">
        <f>475.18*2</f>
        <v>950.36</v>
      </c>
      <c r="AE53" s="128">
        <f t="shared" ref="AE53:AE54" si="46">AB53*AC53*AD53</f>
        <v>985993515.4</v>
      </c>
      <c r="AF53" s="128">
        <f t="shared" ref="AF53:AF63" si="47">AE53/1000000</f>
        <v>985.9935154</v>
      </c>
      <c r="AG53" s="128">
        <f t="shared" ref="AG53:AG61" si="48">AF53-AF54</f>
        <v>5.935099218</v>
      </c>
      <c r="AH53" s="128"/>
      <c r="AI53" s="128"/>
      <c r="AJ53" s="270"/>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row>
    <row r="54">
      <c r="A54" s="1"/>
      <c r="C54" s="2"/>
      <c r="D54" s="2"/>
      <c r="F54" s="2"/>
      <c r="G54" s="2"/>
      <c r="H54" s="2"/>
      <c r="I54" s="7"/>
      <c r="J54" s="2"/>
      <c r="K54" s="2"/>
      <c r="L54" s="7"/>
      <c r="M54" s="2"/>
      <c r="N54" s="2"/>
      <c r="O54" s="2"/>
      <c r="P54" s="7"/>
      <c r="Q54" s="2"/>
      <c r="R54" s="2"/>
      <c r="S54" s="2"/>
      <c r="T54" s="44">
        <v>581.83</v>
      </c>
      <c r="U54" s="7"/>
      <c r="V54" s="2"/>
      <c r="X54" s="79"/>
      <c r="Y54" s="267">
        <f>1017.6/2</f>
        <v>508.8</v>
      </c>
      <c r="Z54" s="267"/>
      <c r="AA54" s="161" t="s">
        <v>33</v>
      </c>
      <c r="AB54" s="147">
        <f>508.025*2</f>
        <v>1016.05</v>
      </c>
      <c r="AC54" s="147">
        <f>(508.025+509.075)</f>
        <v>1017.1</v>
      </c>
      <c r="AD54" s="147">
        <f>474.18*2</f>
        <v>948.36</v>
      </c>
      <c r="AE54" s="147">
        <f t="shared" si="46"/>
        <v>980058416.1</v>
      </c>
      <c r="AF54" s="147">
        <f t="shared" si="47"/>
        <v>980.0584161</v>
      </c>
      <c r="AG54" s="147">
        <f t="shared" si="48"/>
        <v>4.457150768</v>
      </c>
      <c r="AH54" s="44">
        <v>650.0</v>
      </c>
      <c r="AI54" s="147">
        <f t="shared" ref="AI54:AI62" si="49">AG54*AH54</f>
        <v>2897.147999</v>
      </c>
      <c r="AJ54" s="47">
        <f t="shared" ref="AJ54:AJ62" si="50">AI54/1000</f>
        <v>2.897147999</v>
      </c>
      <c r="AK54" s="2"/>
      <c r="AL54" s="2"/>
      <c r="AM54" s="2"/>
      <c r="AN54" s="7" t="s">
        <v>232</v>
      </c>
      <c r="AS54" s="2"/>
      <c r="AT54" s="2"/>
      <c r="AU54" s="2"/>
      <c r="AV54" s="2"/>
      <c r="AW54" s="2"/>
      <c r="AX54" s="2"/>
      <c r="AY54" s="2"/>
      <c r="AZ54" s="2"/>
      <c r="BA54" s="2"/>
      <c r="BB54" s="2"/>
      <c r="BC54" s="2"/>
      <c r="BD54" s="2"/>
      <c r="BE54" s="2"/>
      <c r="BF54" s="2"/>
      <c r="BG54" s="2"/>
      <c r="BH54" s="2"/>
      <c r="BI54" s="2"/>
      <c r="BJ54" s="2"/>
      <c r="BK54" s="2"/>
      <c r="BL54" s="2"/>
    </row>
    <row r="55">
      <c r="A55" s="1"/>
      <c r="C55" s="2"/>
      <c r="D55" s="2"/>
      <c r="F55" s="2"/>
      <c r="G55" s="7"/>
      <c r="H55" s="2"/>
      <c r="I55" s="7"/>
      <c r="J55" s="7"/>
      <c r="K55" s="7"/>
      <c r="L55" s="2"/>
      <c r="M55" s="7"/>
      <c r="N55" s="2"/>
      <c r="O55" s="7"/>
      <c r="P55" s="2"/>
      <c r="Q55" s="2"/>
      <c r="R55" s="7"/>
      <c r="S55" s="2"/>
      <c r="T55" s="44">
        <v>81.828888</v>
      </c>
      <c r="U55" s="7"/>
      <c r="V55" s="2"/>
      <c r="X55" s="2"/>
      <c r="Y55" s="266">
        <v>0.2</v>
      </c>
      <c r="Z55" s="271"/>
      <c r="AA55" s="161" t="s">
        <v>233</v>
      </c>
      <c r="AB55" s="147">
        <f>507.125*2</f>
        <v>1014.25</v>
      </c>
      <c r="AC55" s="147">
        <f>(507.125+509.075)</f>
        <v>1016.2</v>
      </c>
      <c r="AD55" s="147">
        <f>473.28*2</f>
        <v>946.56</v>
      </c>
      <c r="AE55" s="147">
        <f>AB55*AD55*AC55</f>
        <v>975601265.4</v>
      </c>
      <c r="AF55" s="147">
        <f t="shared" si="47"/>
        <v>975.6012654</v>
      </c>
      <c r="AG55" s="147">
        <f t="shared" si="48"/>
        <v>137.2408712</v>
      </c>
      <c r="AH55" s="44">
        <v>88.0</v>
      </c>
      <c r="AI55" s="147">
        <f t="shared" si="49"/>
        <v>12077.19667</v>
      </c>
      <c r="AJ55" s="47">
        <f t="shared" si="50"/>
        <v>12.07719667</v>
      </c>
      <c r="AK55" s="2"/>
      <c r="AM55" s="2"/>
      <c r="AN55" s="7" t="s">
        <v>234</v>
      </c>
      <c r="AO55" s="7" t="s">
        <v>235</v>
      </c>
      <c r="AP55" s="44" t="s">
        <v>236</v>
      </c>
      <c r="AQ55" s="7" t="s">
        <v>237</v>
      </c>
      <c r="AR55" s="7" t="s">
        <v>238</v>
      </c>
      <c r="AU55" s="7"/>
      <c r="AV55" s="7"/>
      <c r="AW55" s="2"/>
      <c r="AX55" s="2"/>
      <c r="AY55" s="2"/>
      <c r="AZ55" s="2"/>
      <c r="BA55" s="2"/>
      <c r="BB55" s="2"/>
      <c r="BC55" s="2"/>
      <c r="BD55" s="2"/>
      <c r="BE55" s="2"/>
      <c r="BF55" s="2"/>
      <c r="BG55" s="2"/>
      <c r="BH55" s="2"/>
      <c r="BI55" s="2"/>
      <c r="BJ55" s="2"/>
      <c r="BK55" s="2"/>
      <c r="BL55" s="2"/>
    </row>
    <row r="56">
      <c r="A56" s="1"/>
      <c r="C56" s="2"/>
      <c r="D56" s="2"/>
      <c r="F56" s="2"/>
      <c r="G56" s="2"/>
      <c r="H56" s="2"/>
      <c r="I56" s="7"/>
      <c r="J56" s="7"/>
      <c r="K56" s="7"/>
      <c r="L56" s="7"/>
      <c r="M56" s="7"/>
      <c r="N56" s="7"/>
      <c r="O56" s="151"/>
      <c r="P56" s="7"/>
      <c r="Q56" s="2"/>
      <c r="R56" s="2"/>
      <c r="S56" s="7"/>
      <c r="T56" s="147">
        <f>T54-T55</f>
        <v>500.001112</v>
      </c>
      <c r="U56" s="7"/>
      <c r="V56" s="2"/>
      <c r="X56" s="2"/>
      <c r="Y56" s="267">
        <f>570.2+456.12</f>
        <v>1026.32</v>
      </c>
      <c r="Z56" s="267"/>
      <c r="AA56" s="161" t="s">
        <v>239</v>
      </c>
      <c r="AB56" s="147">
        <f>478.025*2</f>
        <v>956.05</v>
      </c>
      <c r="AC56" s="147">
        <f>478.025+509.075</f>
        <v>987.1</v>
      </c>
      <c r="AD56" s="147">
        <f>444.18*2</f>
        <v>888.36</v>
      </c>
      <c r="AE56" s="147">
        <f t="shared" ref="AE56:AE61" si="51">AB56*AC56*AD56</f>
        <v>838360394.1</v>
      </c>
      <c r="AF56" s="147">
        <f t="shared" si="47"/>
        <v>838.3603941</v>
      </c>
      <c r="AG56" s="147">
        <f t="shared" si="48"/>
        <v>0.2694055549</v>
      </c>
      <c r="AH56" s="44">
        <v>1330.0</v>
      </c>
      <c r="AI56" s="147">
        <f t="shared" si="49"/>
        <v>358.309388</v>
      </c>
      <c r="AJ56" s="47">
        <f t="shared" si="50"/>
        <v>0.358309388</v>
      </c>
      <c r="AK56" s="2"/>
      <c r="AN56" s="2">
        <f>570.2*2</f>
        <v>1140.4</v>
      </c>
      <c r="AO56" s="2">
        <f>AN56*AN57*AN58</f>
        <v>72803.136</v>
      </c>
      <c r="AP56" s="2">
        <f>508.4*2</f>
        <v>1016.8</v>
      </c>
      <c r="AQ56" s="2">
        <f>AP56*AP57*AP58</f>
        <v>102859.488</v>
      </c>
      <c r="AR56" s="2">
        <f>SUM(AO59+AQ58)</f>
        <v>53.66860416</v>
      </c>
      <c r="AV56" s="2"/>
      <c r="AW56" s="2"/>
      <c r="AX56" s="2"/>
      <c r="AY56" s="2"/>
      <c r="AZ56" s="2"/>
      <c r="BA56" s="2"/>
      <c r="BB56" s="2"/>
      <c r="BC56" s="2"/>
      <c r="BD56" s="2"/>
      <c r="BE56" s="2"/>
      <c r="BF56" s="2"/>
      <c r="BG56" s="2"/>
      <c r="BH56" s="2"/>
      <c r="BI56" s="2"/>
      <c r="BJ56" s="2"/>
      <c r="BK56" s="2"/>
      <c r="BL56" s="2"/>
    </row>
    <row r="57">
      <c r="A57" s="1"/>
      <c r="C57" s="2"/>
      <c r="D57" s="2"/>
      <c r="F57" s="2"/>
      <c r="G57" s="2"/>
      <c r="H57" s="2"/>
      <c r="I57" s="2"/>
      <c r="J57" s="2"/>
      <c r="K57" s="2"/>
      <c r="L57" s="2"/>
      <c r="M57" s="2"/>
      <c r="N57" s="7"/>
      <c r="O57" s="2"/>
      <c r="P57" s="7"/>
      <c r="Q57" s="2"/>
      <c r="R57" s="2"/>
      <c r="S57" s="2"/>
      <c r="T57" s="147">
        <f>T56*1400</f>
        <v>700001.5568</v>
      </c>
      <c r="U57" s="2"/>
      <c r="V57" s="2"/>
      <c r="X57" s="2"/>
      <c r="Y57" s="267"/>
      <c r="Z57" s="267"/>
      <c r="AA57" s="161" t="s">
        <v>233</v>
      </c>
      <c r="AB57" s="147">
        <f>477.965*2</f>
        <v>955.93</v>
      </c>
      <c r="AC57" s="147">
        <f>(477.965+509.075)</f>
        <v>987.04</v>
      </c>
      <c r="AD57" s="147">
        <f>444.12*2</f>
        <v>888.24</v>
      </c>
      <c r="AE57" s="147">
        <f t="shared" si="51"/>
        <v>838090988.6</v>
      </c>
      <c r="AF57" s="147">
        <f t="shared" si="47"/>
        <v>838.0909886</v>
      </c>
      <c r="AG57" s="147">
        <f t="shared" si="48"/>
        <v>38.92013784</v>
      </c>
      <c r="AH57" s="44">
        <v>88.0</v>
      </c>
      <c r="AI57" s="147">
        <f t="shared" si="49"/>
        <v>3424.97213</v>
      </c>
      <c r="AJ57" s="47">
        <f t="shared" si="50"/>
        <v>3.42497213</v>
      </c>
      <c r="AK57" s="2"/>
      <c r="AL57" s="2"/>
      <c r="AM57" s="2"/>
      <c r="AN57" s="7">
        <f>537.8-535</f>
        <v>2.8</v>
      </c>
      <c r="AO57" s="2">
        <f>AO56/1000000</f>
        <v>0.072803136</v>
      </c>
      <c r="AP57" s="132">
        <f>535-478.8</f>
        <v>56.2</v>
      </c>
      <c r="AQ57" s="2">
        <f>AQ56/1000000</f>
        <v>0.102859488</v>
      </c>
      <c r="AR57" s="2"/>
      <c r="AU57" s="2"/>
      <c r="AV57" s="2"/>
      <c r="AW57" s="2"/>
      <c r="AX57" s="2"/>
      <c r="AY57" s="2"/>
      <c r="AZ57" s="2"/>
      <c r="BA57" s="2"/>
      <c r="BB57" s="2"/>
      <c r="BC57" s="2"/>
      <c r="BD57" s="2"/>
      <c r="BE57" s="2"/>
      <c r="BF57" s="2"/>
      <c r="BG57" s="2"/>
      <c r="BH57" s="2"/>
      <c r="BI57" s="2"/>
      <c r="BJ57" s="2"/>
      <c r="BK57" s="2"/>
      <c r="BL57" s="2"/>
    </row>
    <row r="58">
      <c r="A58" s="1"/>
      <c r="C58" s="2"/>
      <c r="D58" s="2"/>
      <c r="F58" s="2"/>
      <c r="G58" s="2"/>
      <c r="H58" s="2"/>
      <c r="I58" s="2"/>
      <c r="J58" s="2"/>
      <c r="K58" s="2"/>
      <c r="L58" s="2"/>
      <c r="M58" s="2"/>
      <c r="N58" s="2"/>
      <c r="O58" s="2"/>
      <c r="P58" s="7"/>
      <c r="Q58" s="2"/>
      <c r="R58" s="2"/>
      <c r="S58" s="2"/>
      <c r="T58" s="147">
        <f>T57/1000</f>
        <v>700.0015568</v>
      </c>
      <c r="U58" s="2"/>
      <c r="V58" s="2"/>
      <c r="X58" s="2"/>
      <c r="Y58" s="272"/>
      <c r="Z58" s="272"/>
      <c r="AA58" s="161" t="s">
        <v>33</v>
      </c>
      <c r="AB58" s="147">
        <f>469.165*2</f>
        <v>938.33</v>
      </c>
      <c r="AC58" s="147">
        <f>509.075+469.165</f>
        <v>978.24</v>
      </c>
      <c r="AD58" s="147">
        <f>435.32*2</f>
        <v>870.64</v>
      </c>
      <c r="AE58" s="147">
        <f t="shared" si="51"/>
        <v>799170850.7</v>
      </c>
      <c r="AF58" s="147">
        <f t="shared" si="47"/>
        <v>799.1708507</v>
      </c>
      <c r="AG58" s="147">
        <f t="shared" si="48"/>
        <v>5.216555924</v>
      </c>
      <c r="AH58" s="44">
        <v>650.0</v>
      </c>
      <c r="AI58" s="147">
        <f t="shared" si="49"/>
        <v>3390.761351</v>
      </c>
      <c r="AJ58" s="47">
        <f t="shared" si="50"/>
        <v>3.390761351</v>
      </c>
      <c r="AK58" s="2"/>
      <c r="AL58" s="2"/>
      <c r="AM58" s="2"/>
      <c r="AN58" s="2">
        <f>411.4-388.6</f>
        <v>22.8</v>
      </c>
      <c r="AO58" s="2">
        <f>AO57*216</f>
        <v>15.72547738</v>
      </c>
      <c r="AP58" s="2">
        <f>400.9-399.1</f>
        <v>1.8</v>
      </c>
      <c r="AQ58" s="2">
        <f>AQ57*216</f>
        <v>22.21764941</v>
      </c>
      <c r="AR58" s="2"/>
      <c r="AU58" s="2"/>
      <c r="AV58" s="2"/>
      <c r="AW58" s="2"/>
      <c r="AX58" s="2"/>
      <c r="AY58" s="2"/>
      <c r="AZ58" s="2"/>
      <c r="BA58" s="2"/>
      <c r="BB58" s="2"/>
      <c r="BC58" s="2"/>
      <c r="BD58" s="2"/>
      <c r="BE58" s="2"/>
      <c r="BF58" s="2"/>
      <c r="BG58" s="2"/>
      <c r="BH58" s="2"/>
      <c r="BI58" s="2"/>
      <c r="BJ58" s="2"/>
      <c r="BK58" s="2"/>
      <c r="BL58" s="2"/>
    </row>
    <row r="59">
      <c r="A59" s="1"/>
      <c r="C59" s="2"/>
      <c r="D59" s="7"/>
      <c r="E59" s="273"/>
      <c r="F59" s="7"/>
      <c r="G59" s="2"/>
      <c r="H59" s="141"/>
      <c r="I59" s="2"/>
      <c r="J59" s="2"/>
      <c r="K59" s="2"/>
      <c r="L59" s="2"/>
      <c r="M59" s="2"/>
      <c r="N59" s="2"/>
      <c r="O59" s="2"/>
      <c r="P59" s="7"/>
      <c r="Q59" s="2"/>
      <c r="R59" s="2"/>
      <c r="S59" s="2"/>
      <c r="U59" s="2"/>
      <c r="V59" s="2"/>
      <c r="X59" s="2"/>
      <c r="Y59" s="267"/>
      <c r="Z59" s="267"/>
      <c r="AA59" s="161" t="s">
        <v>33</v>
      </c>
      <c r="AB59" s="147">
        <f>467.965*2</f>
        <v>935.93</v>
      </c>
      <c r="AC59" s="147">
        <f>467.965+509.075</f>
        <v>977.04</v>
      </c>
      <c r="AD59" s="147">
        <f>434.12*2</f>
        <v>868.24</v>
      </c>
      <c r="AE59" s="147">
        <f t="shared" si="51"/>
        <v>793954294.8</v>
      </c>
      <c r="AF59" s="147">
        <f t="shared" si="47"/>
        <v>793.9542948</v>
      </c>
      <c r="AG59" s="147">
        <f t="shared" si="48"/>
        <v>5.194908404</v>
      </c>
      <c r="AH59" s="44">
        <v>650.0</v>
      </c>
      <c r="AI59" s="147">
        <f t="shared" si="49"/>
        <v>3376.690463</v>
      </c>
      <c r="AJ59" s="47">
        <f t="shared" si="50"/>
        <v>3.376690463</v>
      </c>
      <c r="AK59" s="7"/>
      <c r="AL59" s="2"/>
      <c r="AM59" s="2"/>
      <c r="AN59" s="2"/>
      <c r="AO59" s="7">
        <f>AO58*2</f>
        <v>31.45095475</v>
      </c>
      <c r="AP59" s="7"/>
      <c r="AR59" s="7"/>
      <c r="AU59" s="2"/>
      <c r="AV59" s="2"/>
      <c r="AW59" s="2"/>
      <c r="AX59" s="2"/>
      <c r="AY59" s="2"/>
      <c r="AZ59" s="2"/>
      <c r="BA59" s="2"/>
      <c r="BB59" s="2"/>
      <c r="BC59" s="2"/>
      <c r="BD59" s="2"/>
      <c r="BE59" s="2"/>
      <c r="BF59" s="2"/>
      <c r="BG59" s="2"/>
      <c r="BH59" s="2"/>
      <c r="BI59" s="2"/>
      <c r="BJ59" s="2"/>
      <c r="BK59" s="2"/>
      <c r="BL59" s="2"/>
    </row>
    <row r="60">
      <c r="A60" s="1"/>
      <c r="C60" s="2"/>
      <c r="D60" s="7"/>
      <c r="E60" s="127"/>
      <c r="F60" s="7"/>
      <c r="G60" s="2"/>
      <c r="H60" s="141"/>
      <c r="I60" s="2"/>
      <c r="K60" s="2"/>
      <c r="L60" s="2"/>
      <c r="M60" s="2"/>
      <c r="N60" s="2"/>
      <c r="O60" s="2"/>
      <c r="U60" s="2"/>
      <c r="V60" s="2"/>
      <c r="X60" s="2">
        <f>X43-T43</f>
        <v>0.6919446257</v>
      </c>
      <c r="Y60" s="267"/>
      <c r="Z60" s="267"/>
      <c r="AA60" s="161" t="s">
        <v>233</v>
      </c>
      <c r="AB60" s="147">
        <f>466.765*2</f>
        <v>933.53</v>
      </c>
      <c r="AC60" s="147">
        <f>466.765+509.075</f>
        <v>975.84</v>
      </c>
      <c r="AD60" s="147">
        <f>432.92*2</f>
        <v>865.84</v>
      </c>
      <c r="AE60" s="147">
        <f t="shared" si="51"/>
        <v>788759386.4</v>
      </c>
      <c r="AF60" s="147">
        <f t="shared" si="47"/>
        <v>788.7593864</v>
      </c>
      <c r="AG60" s="147">
        <f t="shared" si="48"/>
        <v>148.2616018</v>
      </c>
      <c r="AH60" s="44">
        <v>88.0</v>
      </c>
      <c r="AI60" s="147">
        <f t="shared" si="49"/>
        <v>13047.02096</v>
      </c>
      <c r="AJ60" s="47">
        <f t="shared" si="50"/>
        <v>13.04702096</v>
      </c>
      <c r="AK60" s="7"/>
      <c r="AL60" s="2"/>
      <c r="AM60" s="2"/>
      <c r="AN60" s="2"/>
      <c r="AO60" s="7" t="s">
        <v>230</v>
      </c>
      <c r="AP60" s="2"/>
      <c r="AQ60" s="44" t="s">
        <v>223</v>
      </c>
      <c r="AR60" s="7" t="s">
        <v>240</v>
      </c>
      <c r="AU60" s="2"/>
      <c r="AV60" s="2"/>
      <c r="AW60" s="2"/>
      <c r="AX60" s="2"/>
      <c r="AY60" s="2"/>
      <c r="AZ60" s="2"/>
      <c r="BA60" s="2"/>
      <c r="BB60" s="2"/>
      <c r="BC60" s="2"/>
      <c r="BD60" s="2"/>
      <c r="BE60" s="2"/>
      <c r="BF60" s="2"/>
      <c r="BG60" s="2"/>
      <c r="BH60" s="2"/>
      <c r="BI60" s="2"/>
      <c r="BJ60" s="2"/>
      <c r="BK60" s="2"/>
      <c r="BL60" s="2"/>
    </row>
    <row r="61">
      <c r="A61" s="1"/>
      <c r="C61" s="2"/>
      <c r="D61" s="7"/>
      <c r="E61" s="127"/>
      <c r="F61" s="7"/>
      <c r="G61" s="2"/>
      <c r="H61" s="141"/>
      <c r="I61" s="2"/>
      <c r="K61" s="2"/>
      <c r="L61" s="2"/>
      <c r="M61" s="2"/>
      <c r="N61" s="2"/>
      <c r="O61" s="2"/>
      <c r="U61" s="2"/>
      <c r="V61" s="7"/>
      <c r="W61" s="2"/>
      <c r="X61" s="166">
        <f>X60*7820</f>
        <v>5411.006973</v>
      </c>
      <c r="Y61" s="267">
        <f>1141/2</f>
        <v>570.5</v>
      </c>
      <c r="Z61" s="267"/>
      <c r="AA61" s="161" t="s">
        <v>33</v>
      </c>
      <c r="AB61" s="147">
        <f>430.165*2</f>
        <v>860.33</v>
      </c>
      <c r="AC61" s="147">
        <f>430.165+509.075</f>
        <v>939.24</v>
      </c>
      <c r="AD61" s="147">
        <f>396.32*2</f>
        <v>792.64</v>
      </c>
      <c r="AE61" s="147">
        <f t="shared" si="51"/>
        <v>640497784.6</v>
      </c>
      <c r="AF61" s="147">
        <f t="shared" si="47"/>
        <v>640.4977846</v>
      </c>
      <c r="AG61" s="147">
        <f t="shared" si="48"/>
        <v>4.534240004</v>
      </c>
      <c r="AH61" s="44">
        <v>650.0</v>
      </c>
      <c r="AI61" s="147">
        <f t="shared" si="49"/>
        <v>2947.256003</v>
      </c>
      <c r="AJ61" s="47">
        <f t="shared" si="50"/>
        <v>2.947256003</v>
      </c>
      <c r="AK61" s="2"/>
      <c r="AL61" s="2"/>
      <c r="AM61" s="2"/>
      <c r="AN61" s="2"/>
      <c r="AO61" s="2">
        <f>(AO59*7820)/1000</f>
        <v>245.9464662</v>
      </c>
      <c r="AP61" s="7"/>
      <c r="AQ61" s="7">
        <f>(AQ58*7820)/1000</f>
        <v>173.7420184</v>
      </c>
      <c r="AR61" s="7">
        <f>SUM(AQ61,AO61)</f>
        <v>419.6884845</v>
      </c>
      <c r="AT61" s="7"/>
      <c r="AU61" s="2"/>
      <c r="AV61" s="2"/>
      <c r="AW61" s="2"/>
      <c r="AX61" s="2"/>
      <c r="AY61" s="2"/>
      <c r="AZ61" s="2"/>
      <c r="BA61" s="2"/>
      <c r="BB61" s="2"/>
      <c r="BC61" s="2"/>
      <c r="BD61" s="2"/>
      <c r="BE61" s="2"/>
      <c r="BF61" s="2"/>
      <c r="BG61" s="2"/>
      <c r="BH61" s="2"/>
      <c r="BI61" s="2"/>
      <c r="BJ61" s="2"/>
      <c r="BK61" s="2"/>
      <c r="BL61" s="2"/>
    </row>
    <row r="62">
      <c r="A62" s="1"/>
      <c r="C62" s="2"/>
      <c r="D62" s="2"/>
      <c r="F62" s="2"/>
      <c r="G62" s="2"/>
      <c r="H62" s="141"/>
      <c r="I62" s="2"/>
      <c r="K62" s="2"/>
      <c r="L62" s="2"/>
      <c r="M62" s="2"/>
      <c r="N62" s="2"/>
      <c r="O62" s="2"/>
      <c r="U62" s="2"/>
      <c r="V62" s="2"/>
      <c r="W62" s="2"/>
      <c r="X62" s="274"/>
      <c r="Y62" s="275">
        <f>1076/2</f>
        <v>538</v>
      </c>
      <c r="Z62" s="275"/>
      <c r="AA62" s="161" t="s">
        <v>241</v>
      </c>
      <c r="AB62" s="147">
        <f>428.965*2</f>
        <v>857.93</v>
      </c>
      <c r="AC62" s="147">
        <f>428.965+509.075</f>
        <v>938.04</v>
      </c>
      <c r="AD62" s="147">
        <f>395.12*2</f>
        <v>790.24</v>
      </c>
      <c r="AE62" s="147">
        <f t="shared" ref="AE62:AE63" si="52">AB62*AD62*AC62</f>
        <v>635963544.6</v>
      </c>
      <c r="AF62" s="147">
        <f t="shared" si="47"/>
        <v>635.9635446</v>
      </c>
      <c r="AG62" s="147">
        <f>AF62-AF64-AF65</f>
        <v>0.6918963697</v>
      </c>
      <c r="AH62" s="44">
        <v>7820.0</v>
      </c>
      <c r="AI62" s="147">
        <f t="shared" si="49"/>
        <v>5410.629611</v>
      </c>
      <c r="AJ62" s="47">
        <f t="shared" si="50"/>
        <v>5.410629611</v>
      </c>
      <c r="AK62" s="2"/>
      <c r="AL62" s="2"/>
      <c r="AM62" s="2"/>
      <c r="AN62" s="7"/>
      <c r="AO62" s="2"/>
      <c r="AP62" s="2"/>
      <c r="AQ62" s="2"/>
      <c r="AR62" s="2"/>
      <c r="AS62" s="2"/>
      <c r="AT62" s="2"/>
      <c r="AU62" s="2"/>
      <c r="AV62" s="2"/>
      <c r="AW62" s="2"/>
      <c r="AX62" s="2"/>
      <c r="AY62" s="2"/>
      <c r="AZ62" s="2"/>
      <c r="BA62" s="2"/>
      <c r="BB62" s="2"/>
      <c r="BC62" s="2"/>
      <c r="BD62" s="2"/>
      <c r="BE62" s="2"/>
      <c r="BF62" s="2"/>
      <c r="BG62" s="2"/>
      <c r="BH62" s="2"/>
      <c r="BI62" s="2"/>
      <c r="BJ62" s="2"/>
      <c r="BK62" s="2"/>
      <c r="BL62" s="2"/>
    </row>
    <row r="63">
      <c r="A63" s="1"/>
      <c r="C63" s="7"/>
      <c r="D63" s="7"/>
      <c r="F63" s="7"/>
      <c r="G63" s="7"/>
      <c r="H63" s="276"/>
      <c r="I63" s="7"/>
      <c r="K63" s="2"/>
      <c r="L63" s="2"/>
      <c r="M63" s="2"/>
      <c r="N63" s="2"/>
      <c r="O63" s="2"/>
      <c r="U63" s="2"/>
      <c r="V63" s="2"/>
      <c r="W63" s="2"/>
      <c r="X63" s="127"/>
      <c r="Y63" s="275"/>
      <c r="Z63" s="275"/>
      <c r="AA63" s="161" t="s">
        <v>242</v>
      </c>
      <c r="AB63" s="147">
        <f>428.845*2</f>
        <v>857.69</v>
      </c>
      <c r="AC63" s="147">
        <f>428.875+428.845</f>
        <v>857.72</v>
      </c>
      <c r="AD63" s="147">
        <f t="shared" ref="AD63:AD64" si="53">395*2</f>
        <v>790</v>
      </c>
      <c r="AE63" s="147">
        <f t="shared" si="52"/>
        <v>581169714.8</v>
      </c>
      <c r="AF63" s="147">
        <f t="shared" si="47"/>
        <v>581.1697148</v>
      </c>
      <c r="AJ63" s="47"/>
      <c r="AK63" s="2"/>
      <c r="AL63" s="2"/>
      <c r="AM63" s="2"/>
      <c r="AN63" s="277" t="s">
        <v>243</v>
      </c>
      <c r="AS63" s="2"/>
      <c r="AT63" s="2"/>
      <c r="AU63" s="2"/>
      <c r="AV63" s="2"/>
      <c r="AW63" s="278"/>
      <c r="AX63" s="2"/>
      <c r="AY63" s="2"/>
      <c r="AZ63" s="2"/>
      <c r="BA63" s="2"/>
      <c r="BB63" s="2"/>
      <c r="BC63" s="2"/>
      <c r="BD63" s="2"/>
      <c r="BE63" s="2"/>
      <c r="BF63" s="2"/>
      <c r="BG63" s="2"/>
      <c r="BH63" s="2"/>
      <c r="BI63" s="2"/>
      <c r="BJ63" s="2"/>
      <c r="BK63" s="2"/>
      <c r="BL63" s="2"/>
    </row>
    <row r="64">
      <c r="A64" s="1"/>
      <c r="C64" s="7"/>
      <c r="D64" s="7"/>
      <c r="E64" s="7"/>
      <c r="F64" s="7"/>
      <c r="G64" s="7"/>
      <c r="H64" s="7"/>
      <c r="I64" s="7"/>
      <c r="K64" s="2"/>
      <c r="L64" s="2"/>
      <c r="M64" s="2"/>
      <c r="N64" s="2"/>
      <c r="O64" s="2"/>
      <c r="P64" s="2"/>
      <c r="Q64" s="2"/>
      <c r="S64" s="2"/>
      <c r="T64" s="2"/>
      <c r="U64" s="2"/>
      <c r="V64" s="2"/>
      <c r="W64" s="2"/>
      <c r="X64" s="274"/>
      <c r="Y64" s="275"/>
      <c r="Z64" s="275"/>
      <c r="AA64" s="161" t="s">
        <v>244</v>
      </c>
      <c r="AB64" s="44">
        <v>857.605</v>
      </c>
      <c r="AC64" s="44">
        <v>857.605</v>
      </c>
      <c r="AD64" s="147">
        <f t="shared" si="53"/>
        <v>790</v>
      </c>
      <c r="AE64" s="147">
        <f>(AB64*AC64*AD64)/1000000</f>
        <v>581.0342055</v>
      </c>
      <c r="AF64" s="279">
        <v>581.034</v>
      </c>
      <c r="AJ64" s="47"/>
      <c r="AK64" s="7"/>
      <c r="AL64" s="7"/>
      <c r="AN64" s="2">
        <f>570.2*2</f>
        <v>1140.4</v>
      </c>
      <c r="AO64" s="2">
        <f>AN64*AN65*AN66</f>
        <v>9237.24</v>
      </c>
      <c r="AP64" s="2">
        <f>508.4*2</f>
        <v>1016.8</v>
      </c>
      <c r="AQ64" s="2">
        <f>AP64*AP65*AP66</f>
        <v>79135.002</v>
      </c>
      <c r="AR64" s="7" t="s">
        <v>238</v>
      </c>
      <c r="AS64" s="2"/>
      <c r="AT64" s="2"/>
      <c r="AU64" s="2"/>
      <c r="AV64" s="2"/>
      <c r="AW64" s="2"/>
      <c r="AX64" s="2"/>
      <c r="AY64" s="2"/>
      <c r="AZ64" s="2"/>
      <c r="BA64" s="2"/>
      <c r="BB64" s="2"/>
      <c r="BC64" s="2"/>
      <c r="BD64" s="2"/>
      <c r="BE64" s="2"/>
      <c r="BF64" s="2"/>
      <c r="BG64" s="2"/>
      <c r="BH64" s="2"/>
      <c r="BI64" s="2"/>
      <c r="BJ64" s="2"/>
      <c r="BK64" s="2"/>
      <c r="BL64" s="2"/>
    </row>
    <row r="65">
      <c r="A65" s="1"/>
      <c r="C65" s="7"/>
      <c r="D65" s="7"/>
      <c r="E65" s="7"/>
      <c r="F65" s="7"/>
      <c r="G65" s="7"/>
      <c r="H65" s="7"/>
      <c r="I65" s="7"/>
      <c r="K65" s="2"/>
      <c r="L65" s="2"/>
      <c r="M65" s="2"/>
      <c r="N65" s="2"/>
      <c r="O65" s="2"/>
      <c r="P65" s="2"/>
      <c r="Q65" s="2"/>
      <c r="S65" s="2"/>
      <c r="T65" s="2"/>
      <c r="U65" s="2"/>
      <c r="V65" s="2"/>
      <c r="W65" s="2"/>
      <c r="X65" s="280"/>
      <c r="Y65" s="275"/>
      <c r="Z65" s="275"/>
      <c r="AA65" s="161" t="s">
        <v>118</v>
      </c>
      <c r="AB65" s="44">
        <f>428.965*2</f>
        <v>857.93</v>
      </c>
      <c r="AC65" s="147">
        <f>509.075-429.075</f>
        <v>80</v>
      </c>
      <c r="AD65" s="147">
        <f>395.12*2</f>
        <v>790.24</v>
      </c>
      <c r="AE65" s="147">
        <f>AB65*AC65*AD65</f>
        <v>54237648.26</v>
      </c>
      <c r="AF65" s="147">
        <f>AE65/1000000</f>
        <v>54.23764826</v>
      </c>
      <c r="AI65" s="44">
        <f>SUM(AI53:AI63)</f>
        <v>46929.98457</v>
      </c>
      <c r="AJ65" s="47"/>
      <c r="AK65" s="7"/>
      <c r="AL65" s="7"/>
      <c r="AN65" s="7">
        <f>537.8-536.45</f>
        <v>1.35</v>
      </c>
      <c r="AO65" s="2">
        <f>AO64/1000000</f>
        <v>0.00923724</v>
      </c>
      <c r="AP65" s="132">
        <f>(535+1.45)-478.8</f>
        <v>57.65</v>
      </c>
      <c r="AQ65" s="2">
        <f>AQ64/1000000</f>
        <v>0.079135002</v>
      </c>
      <c r="AR65" s="7">
        <f>AO67+AQ66</f>
        <v>21.08364811</v>
      </c>
      <c r="AS65" s="2"/>
      <c r="AT65" s="2"/>
      <c r="AU65" s="2"/>
      <c r="AV65" s="2"/>
      <c r="AW65" s="2"/>
      <c r="AX65" s="2"/>
      <c r="AY65" s="2"/>
      <c r="AZ65" s="2"/>
      <c r="BA65" s="2"/>
      <c r="BB65" s="2"/>
      <c r="BC65" s="2"/>
      <c r="BD65" s="2"/>
      <c r="BE65" s="2"/>
      <c r="BF65" s="2"/>
      <c r="BG65" s="2"/>
      <c r="BH65" s="2"/>
      <c r="BI65" s="2"/>
      <c r="BJ65" s="2"/>
      <c r="BK65" s="2"/>
      <c r="BL65" s="2"/>
    </row>
    <row r="66">
      <c r="A66" s="1"/>
      <c r="C66" s="7"/>
      <c r="D66" s="7"/>
      <c r="E66" s="7"/>
      <c r="F66" s="7"/>
      <c r="G66" s="7"/>
      <c r="H66" s="7"/>
      <c r="I66" s="7"/>
      <c r="K66" s="2"/>
      <c r="L66" s="2"/>
      <c r="M66" s="2"/>
      <c r="N66" s="2"/>
      <c r="O66" s="2"/>
      <c r="P66" s="2"/>
      <c r="Q66" s="2"/>
      <c r="S66" s="2"/>
      <c r="T66" s="2"/>
      <c r="U66" s="2"/>
      <c r="V66" s="44"/>
      <c r="W66" s="44"/>
      <c r="Y66" s="281"/>
      <c r="Z66" s="266"/>
      <c r="AA66" s="139"/>
      <c r="AB66" s="147">
        <f>AB64/2</f>
        <v>428.8025</v>
      </c>
      <c r="AI66" s="147">
        <f>AI65/1000</f>
        <v>46.92998457</v>
      </c>
      <c r="AJ66" s="47"/>
      <c r="AK66" s="7"/>
      <c r="AL66" s="7"/>
      <c r="AN66" s="2">
        <f>411.4-405.4</f>
        <v>6</v>
      </c>
      <c r="AO66" s="2">
        <f>AO65*216</f>
        <v>1.99524384</v>
      </c>
      <c r="AP66" s="2">
        <f>400.9-399.55</f>
        <v>1.35</v>
      </c>
      <c r="AQ66" s="2">
        <f>AQ65*216</f>
        <v>17.09316043</v>
      </c>
      <c r="AR66" s="2"/>
      <c r="AS66" s="2"/>
      <c r="AT66" s="2"/>
      <c r="AU66" s="2"/>
      <c r="AV66" s="2"/>
      <c r="AW66" s="282"/>
      <c r="AX66" s="2"/>
      <c r="AY66" s="2"/>
      <c r="AZ66" s="2"/>
      <c r="BA66" s="2"/>
      <c r="BB66" s="2"/>
      <c r="BC66" s="2"/>
      <c r="BD66" s="2"/>
      <c r="BE66" s="2"/>
      <c r="BF66" s="2"/>
      <c r="BG66" s="2"/>
      <c r="BH66" s="2"/>
      <c r="BI66" s="2"/>
      <c r="BJ66" s="2"/>
      <c r="BK66" s="2"/>
      <c r="BL66" s="2"/>
    </row>
    <row r="67">
      <c r="A67" s="3"/>
      <c r="C67" s="7"/>
      <c r="D67" s="7"/>
      <c r="E67" s="7"/>
      <c r="F67" s="7"/>
      <c r="G67" s="7"/>
      <c r="H67" s="7"/>
      <c r="I67" s="7"/>
      <c r="K67" s="2"/>
      <c r="L67" s="2"/>
      <c r="M67" s="2"/>
      <c r="N67" s="2"/>
      <c r="O67" s="2"/>
      <c r="P67" s="2"/>
      <c r="Q67" s="2"/>
      <c r="S67" s="2"/>
      <c r="T67" s="2"/>
      <c r="U67" s="2"/>
      <c r="Y67" s="281"/>
      <c r="Z67" s="267"/>
      <c r="AA67" s="139"/>
      <c r="AJ67" s="47"/>
      <c r="AK67" s="7"/>
      <c r="AL67" s="7"/>
      <c r="AN67" s="2"/>
      <c r="AO67" s="7">
        <f>AO66*2</f>
        <v>3.99048768</v>
      </c>
      <c r="AP67" s="7"/>
      <c r="AR67" s="2"/>
      <c r="AS67" s="2"/>
      <c r="AT67" s="2"/>
      <c r="AU67" s="2"/>
      <c r="AV67" s="2"/>
      <c r="AW67" s="2"/>
      <c r="AX67" s="2"/>
      <c r="AY67" s="2"/>
      <c r="AZ67" s="2"/>
      <c r="BA67" s="2"/>
      <c r="BB67" s="2"/>
      <c r="BC67" s="2"/>
      <c r="BD67" s="2"/>
      <c r="BE67" s="2"/>
      <c r="BF67" s="2"/>
      <c r="BG67" s="2"/>
      <c r="BH67" s="2"/>
      <c r="BI67" s="2"/>
      <c r="BJ67" s="2"/>
      <c r="BK67" s="2"/>
      <c r="BL67" s="2"/>
    </row>
    <row r="68">
      <c r="A68" s="3"/>
      <c r="C68" s="283"/>
      <c r="D68" s="283"/>
      <c r="E68" s="283"/>
      <c r="F68" s="283"/>
      <c r="G68" s="283"/>
      <c r="H68" s="283"/>
      <c r="I68" s="283"/>
      <c r="K68" s="2"/>
      <c r="L68" s="2"/>
      <c r="M68" s="2"/>
      <c r="N68" s="2"/>
      <c r="O68" s="2"/>
      <c r="P68" s="2"/>
      <c r="Q68" s="2"/>
      <c r="U68" s="2"/>
      <c r="Y68" s="281">
        <f>395.12+8</f>
        <v>403.12</v>
      </c>
      <c r="Z68" s="275"/>
      <c r="AA68" s="108"/>
      <c r="AB68" s="106"/>
      <c r="AC68" s="106"/>
      <c r="AD68" s="106"/>
      <c r="AE68" s="106"/>
      <c r="AF68" s="106"/>
      <c r="AG68" s="106"/>
      <c r="AH68" s="106"/>
      <c r="AI68" s="106"/>
      <c r="AJ68" s="284"/>
      <c r="AK68" s="7"/>
      <c r="AL68" s="7"/>
      <c r="AN68" s="2"/>
      <c r="AO68" s="7" t="s">
        <v>230</v>
      </c>
      <c r="AP68" s="2"/>
      <c r="AQ68" s="44" t="s">
        <v>223</v>
      </c>
      <c r="AR68" s="7" t="s">
        <v>240</v>
      </c>
      <c r="AS68" s="2"/>
      <c r="AT68" s="2"/>
      <c r="AU68" s="2"/>
      <c r="AV68" s="2"/>
      <c r="AW68" s="2"/>
      <c r="AX68" s="2"/>
      <c r="AY68" s="2"/>
      <c r="AZ68" s="2"/>
      <c r="BA68" s="2"/>
      <c r="BB68" s="2"/>
      <c r="BC68" s="2"/>
      <c r="BD68" s="2"/>
      <c r="BE68" s="2"/>
      <c r="BF68" s="2"/>
      <c r="BG68" s="2"/>
      <c r="BH68" s="2"/>
      <c r="BI68" s="2"/>
      <c r="BJ68" s="2"/>
      <c r="BK68" s="2"/>
      <c r="BL68" s="2"/>
    </row>
    <row r="69">
      <c r="A69" s="3"/>
      <c r="C69" s="2"/>
      <c r="D69" s="2"/>
      <c r="E69" s="2"/>
      <c r="F69" s="2"/>
      <c r="G69" s="2"/>
      <c r="H69" s="2"/>
      <c r="I69" s="2"/>
      <c r="K69" s="2"/>
      <c r="L69" s="2"/>
      <c r="M69" s="2"/>
      <c r="N69" s="2"/>
      <c r="O69" s="2"/>
      <c r="P69" s="2"/>
      <c r="Q69" s="2"/>
      <c r="S69" s="2"/>
      <c r="T69" s="2"/>
      <c r="U69" s="2"/>
      <c r="Y69" s="281"/>
      <c r="Z69" s="267"/>
      <c r="AA69" s="2"/>
      <c r="AB69" s="2"/>
      <c r="AC69" s="2"/>
      <c r="AD69" s="2"/>
      <c r="AE69" s="32"/>
      <c r="AF69" s="7"/>
      <c r="AG69" s="7"/>
      <c r="AH69" s="7"/>
      <c r="AI69" s="7"/>
      <c r="AJ69" s="7"/>
      <c r="AK69" s="7"/>
      <c r="AL69" s="7"/>
      <c r="AN69" s="2"/>
      <c r="AO69" s="2">
        <f>(AO67*7820)/1000</f>
        <v>31.20561366</v>
      </c>
      <c r="AP69" s="7"/>
      <c r="AQ69" s="7">
        <f>(AQ66*7820)/1000</f>
        <v>133.6685146</v>
      </c>
      <c r="AR69" s="7">
        <f>SUM(AO69:AQ69)</f>
        <v>164.8741282</v>
      </c>
      <c r="AS69" s="2"/>
      <c r="AT69" s="2"/>
      <c r="AU69" s="2"/>
      <c r="AV69" s="2"/>
      <c r="AW69" s="2"/>
      <c r="AX69" s="2"/>
      <c r="AY69" s="2"/>
      <c r="AZ69" s="2"/>
      <c r="BA69" s="2"/>
      <c r="BB69" s="2"/>
      <c r="BC69" s="2"/>
      <c r="BD69" s="2"/>
      <c r="BE69" s="2"/>
      <c r="BF69" s="2"/>
      <c r="BG69" s="2"/>
      <c r="BH69" s="2"/>
      <c r="BI69" s="2"/>
      <c r="BJ69" s="2"/>
      <c r="BK69" s="2"/>
      <c r="BL69" s="2"/>
    </row>
    <row r="70">
      <c r="A70" s="1"/>
      <c r="C70" s="2"/>
      <c r="D70" s="2"/>
      <c r="E70" s="2"/>
      <c r="F70" s="2"/>
      <c r="G70" s="2"/>
      <c r="H70" s="2"/>
      <c r="I70" s="2"/>
      <c r="K70" s="2"/>
      <c r="L70" s="2"/>
      <c r="M70" s="2"/>
      <c r="N70" s="2"/>
      <c r="O70" s="2"/>
      <c r="P70" s="2"/>
      <c r="Q70" s="2"/>
      <c r="R70" s="2"/>
      <c r="S70" s="2"/>
      <c r="T70" s="2"/>
      <c r="U70" s="2"/>
      <c r="Y70" s="281"/>
      <c r="Z70" s="267"/>
      <c r="AA70" s="2"/>
      <c r="AB70" s="2"/>
      <c r="AC70" s="2"/>
      <c r="AD70" s="2"/>
      <c r="AE70" s="32"/>
      <c r="AF70" s="7"/>
      <c r="AG70" s="7"/>
      <c r="AH70" s="7"/>
      <c r="AI70" s="7"/>
      <c r="AJ70" s="7"/>
      <c r="AK70" s="7"/>
      <c r="AL70" s="7"/>
      <c r="AO70" s="2"/>
      <c r="AP70" s="2"/>
      <c r="AQ70" s="2"/>
      <c r="AS70" s="2"/>
      <c r="AT70" s="2"/>
      <c r="AU70" s="2"/>
      <c r="AV70" s="2"/>
      <c r="AW70" s="2"/>
      <c r="AX70" s="2"/>
      <c r="AY70" s="2"/>
      <c r="AZ70" s="2"/>
      <c r="BA70" s="2"/>
      <c r="BB70" s="2"/>
      <c r="BC70" s="2"/>
      <c r="BD70" s="2"/>
      <c r="BE70" s="2"/>
      <c r="BF70" s="2"/>
      <c r="BG70" s="2"/>
      <c r="BH70" s="2"/>
      <c r="BI70" s="2"/>
      <c r="BJ70" s="2"/>
      <c r="BK70" s="2"/>
      <c r="BL70" s="2"/>
    </row>
    <row r="71">
      <c r="A71" s="1"/>
      <c r="B71" s="2"/>
      <c r="C71" s="2"/>
      <c r="D71" s="2"/>
      <c r="E71" s="7"/>
      <c r="F71" s="7"/>
      <c r="G71" s="2"/>
      <c r="H71" s="2"/>
      <c r="I71" s="2"/>
      <c r="K71" s="2"/>
      <c r="L71" s="2"/>
      <c r="M71" s="2"/>
      <c r="N71" s="2"/>
      <c r="O71" s="2"/>
      <c r="P71" s="2"/>
      <c r="Q71" s="2"/>
      <c r="R71" s="2"/>
      <c r="S71" s="2"/>
      <c r="U71" s="2"/>
      <c r="W71" s="44" t="s">
        <v>245</v>
      </c>
      <c r="Y71" s="285"/>
      <c r="AA71" s="162"/>
      <c r="AL71" s="2"/>
      <c r="AN71" s="147">
        <f>91.4-3</f>
        <v>88.4</v>
      </c>
      <c r="AO71" s="2"/>
      <c r="AP71" s="2"/>
      <c r="AQ71" s="2"/>
      <c r="AR71" s="2"/>
      <c r="AS71" s="2"/>
      <c r="AT71" s="2"/>
      <c r="AU71" s="2"/>
      <c r="AV71" s="2"/>
      <c r="AW71" s="2"/>
      <c r="AX71" s="2"/>
      <c r="AY71" s="2"/>
      <c r="AZ71" s="2"/>
      <c r="BA71" s="2"/>
      <c r="BB71" s="2"/>
      <c r="BC71" s="2"/>
      <c r="BD71" s="2"/>
      <c r="BE71" s="2"/>
      <c r="BF71" s="2"/>
      <c r="BG71" s="2"/>
      <c r="BH71" s="2"/>
      <c r="BI71" s="2"/>
      <c r="BJ71" s="2"/>
      <c r="BK71" s="2"/>
      <c r="BL71" s="2"/>
    </row>
    <row r="72">
      <c r="A72" s="1"/>
      <c r="B72" s="2"/>
      <c r="C72" s="2"/>
      <c r="D72" s="2"/>
      <c r="E72" s="7"/>
      <c r="F72" s="7"/>
      <c r="G72" s="2"/>
      <c r="H72" s="2"/>
      <c r="I72" s="2"/>
      <c r="K72" s="2"/>
      <c r="L72" s="2"/>
      <c r="M72" s="2"/>
      <c r="N72" s="2"/>
      <c r="O72" s="2"/>
      <c r="P72" s="2"/>
      <c r="Q72" s="2"/>
      <c r="R72" s="2"/>
      <c r="S72" s="2"/>
      <c r="T72" s="2"/>
      <c r="U72" s="2"/>
      <c r="W72" s="147">
        <f>428.8025*2</f>
        <v>857.605</v>
      </c>
      <c r="Y72" s="285"/>
      <c r="AC72" s="147">
        <f>854*854*790</f>
        <v>576159640</v>
      </c>
      <c r="AD72" s="44">
        <f>428.965-428.8025</f>
        <v>0.1625</v>
      </c>
      <c r="AE72" s="147">
        <f>427.4+AD72</f>
        <v>427.5625</v>
      </c>
      <c r="AF72" s="286">
        <f>396.32-395.12</f>
        <v>1.2</v>
      </c>
      <c r="AG72" s="286">
        <f>AD73-AF72</f>
        <v>393.9625</v>
      </c>
      <c r="AH72" s="147">
        <f>430.165-428.965</f>
        <v>1.2</v>
      </c>
      <c r="AI72" s="44">
        <f>430.165-1.2</f>
        <v>428.965</v>
      </c>
      <c r="AK72" s="147">
        <f>429.075-428.8025</f>
        <v>0.2725</v>
      </c>
      <c r="AN72" s="147">
        <f>68.6+3</f>
        <v>71.6</v>
      </c>
      <c r="AO72" s="2"/>
      <c r="AP72" s="2"/>
      <c r="AQ72" s="2"/>
      <c r="AR72" s="2"/>
      <c r="AS72" s="2"/>
      <c r="AT72" s="2"/>
      <c r="AU72" s="2"/>
      <c r="AV72" s="2"/>
      <c r="AW72" s="2"/>
      <c r="AX72" s="2"/>
      <c r="AY72" s="2"/>
      <c r="AZ72" s="2"/>
      <c r="BA72" s="2"/>
      <c r="BB72" s="2"/>
      <c r="BC72" s="2"/>
      <c r="BD72" s="2"/>
      <c r="BE72" s="2"/>
      <c r="BF72" s="2"/>
      <c r="BG72" s="2"/>
      <c r="BH72" s="2"/>
      <c r="BI72" s="2"/>
      <c r="BJ72" s="2"/>
      <c r="BK72" s="2"/>
      <c r="BL72" s="2"/>
    </row>
    <row r="73">
      <c r="A73" s="1"/>
      <c r="B73" s="2"/>
      <c r="C73" s="2"/>
      <c r="D73" s="2"/>
      <c r="E73" s="2"/>
      <c r="F73" s="2"/>
      <c r="G73" s="2"/>
      <c r="H73" s="2"/>
      <c r="I73" s="2"/>
      <c r="K73" s="2"/>
      <c r="L73" s="2"/>
      <c r="M73" s="2"/>
      <c r="N73" s="2"/>
      <c r="O73" s="2"/>
      <c r="P73" s="2"/>
      <c r="Q73" s="2"/>
      <c r="R73" s="2"/>
      <c r="S73" s="2"/>
      <c r="T73" s="2"/>
      <c r="U73" s="2"/>
      <c r="W73" s="147">
        <f>428.8025+429.055</f>
        <v>857.8575</v>
      </c>
      <c r="Y73" s="285"/>
      <c r="AC73" s="147">
        <f>AC72/1000000</f>
        <v>576.15964</v>
      </c>
      <c r="AD73" s="147">
        <f>395+AD72</f>
        <v>395.1625</v>
      </c>
      <c r="AH73" s="147">
        <f>430.165-1.2</f>
        <v>428.965</v>
      </c>
      <c r="AK73" s="147">
        <f>AK72*10</f>
        <v>2.725</v>
      </c>
      <c r="AL73" s="7"/>
      <c r="AO73" s="2"/>
      <c r="AP73" s="2"/>
      <c r="AQ73" s="2"/>
      <c r="AR73" s="2"/>
      <c r="AS73" s="2"/>
      <c r="AT73" s="2"/>
      <c r="AU73" s="2"/>
      <c r="AV73" s="2"/>
      <c r="AW73" s="2"/>
      <c r="AX73" s="2"/>
      <c r="AY73" s="2"/>
      <c r="AZ73" s="2"/>
      <c r="BA73" s="2"/>
      <c r="BB73" s="2"/>
      <c r="BC73" s="2"/>
      <c r="BD73" s="2"/>
      <c r="BE73" s="2"/>
      <c r="BF73" s="2"/>
      <c r="BG73" s="2"/>
      <c r="BH73" s="2"/>
      <c r="BI73" s="2"/>
      <c r="BJ73" s="2"/>
      <c r="BK73" s="2"/>
      <c r="BL73" s="2"/>
    </row>
    <row r="74">
      <c r="A74" s="1"/>
      <c r="B74" s="2"/>
      <c r="C74" s="2"/>
      <c r="D74" s="2"/>
      <c r="E74" s="2"/>
      <c r="F74" s="2"/>
      <c r="G74" s="2"/>
      <c r="H74" s="2"/>
      <c r="I74" s="2"/>
      <c r="K74" s="2"/>
      <c r="L74" s="2"/>
      <c r="M74" s="2"/>
      <c r="N74" s="2"/>
      <c r="O74" s="2"/>
      <c r="P74" s="2"/>
      <c r="Q74" s="2"/>
      <c r="R74" s="2"/>
      <c r="S74" s="2"/>
      <c r="T74" s="2"/>
      <c r="U74" s="2"/>
      <c r="W74" s="147">
        <f>395*2</f>
        <v>790</v>
      </c>
      <c r="Y74" s="285"/>
      <c r="AC74" s="44">
        <f>854.8/2</f>
        <v>427.4</v>
      </c>
      <c r="AL74" s="287"/>
      <c r="AO74" s="287"/>
      <c r="AP74" s="2"/>
      <c r="AQ74" s="2"/>
      <c r="AR74" s="287"/>
      <c r="AS74" s="287"/>
      <c r="AT74" s="287"/>
      <c r="AU74" s="287"/>
      <c r="AV74" s="1"/>
      <c r="AW74" s="1"/>
      <c r="AX74" s="2"/>
      <c r="AY74" s="2"/>
      <c r="AZ74" s="2"/>
      <c r="BA74" s="2"/>
      <c r="BB74" s="2"/>
      <c r="BC74" s="2"/>
      <c r="BD74" s="2"/>
      <c r="BE74" s="2"/>
      <c r="BF74" s="2"/>
      <c r="BG74" s="2"/>
      <c r="BH74" s="2"/>
      <c r="BI74" s="2"/>
      <c r="BJ74" s="2"/>
      <c r="BK74" s="2"/>
      <c r="BL74" s="2"/>
    </row>
    <row r="75">
      <c r="A75" s="1"/>
      <c r="B75" s="2"/>
      <c r="C75" s="2"/>
      <c r="D75" s="2"/>
      <c r="E75" s="2"/>
      <c r="F75" s="2"/>
      <c r="G75" s="2"/>
      <c r="H75" s="2"/>
      <c r="I75" s="2"/>
      <c r="J75" s="2"/>
      <c r="K75" s="2"/>
      <c r="L75" s="2"/>
      <c r="M75" s="2"/>
      <c r="N75" s="2"/>
      <c r="O75" s="2"/>
      <c r="P75" s="2"/>
      <c r="Q75" s="2"/>
      <c r="R75" s="2"/>
      <c r="S75" s="2"/>
      <c r="T75" s="2"/>
      <c r="U75" s="2"/>
      <c r="W75" s="147">
        <f>(W72*W73*W74)/1000000</f>
        <v>581.2052762</v>
      </c>
      <c r="Y75" s="288"/>
      <c r="Z75" s="32"/>
      <c r="AA75" s="32"/>
      <c r="AB75" s="32"/>
      <c r="AD75" s="32"/>
      <c r="AE75" s="32"/>
      <c r="AF75" s="32"/>
      <c r="AG75" s="7"/>
      <c r="AH75" s="32"/>
      <c r="AI75" s="32"/>
      <c r="AJ75" s="3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row>
    <row r="76">
      <c r="A76" s="1"/>
      <c r="B76" s="2"/>
      <c r="C76" s="2"/>
      <c r="D76" s="2"/>
      <c r="E76" s="2"/>
      <c r="F76" s="2"/>
      <c r="G76" s="2"/>
      <c r="H76" s="2"/>
      <c r="I76" s="2"/>
      <c r="J76" s="2"/>
      <c r="K76" s="2"/>
      <c r="L76" s="2"/>
      <c r="M76" s="2"/>
      <c r="N76" s="2"/>
      <c r="O76" s="2"/>
      <c r="P76" s="2"/>
      <c r="Q76" s="2"/>
      <c r="R76" s="2"/>
      <c r="S76" s="2"/>
      <c r="T76" s="2"/>
      <c r="U76" s="2"/>
      <c r="W76" s="147">
        <f>W75-Q43</f>
        <v>499.3763882</v>
      </c>
      <c r="Y76" s="285"/>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row>
    <row r="77">
      <c r="A77" s="1"/>
      <c r="B77" s="2"/>
      <c r="C77" s="2"/>
      <c r="D77" s="2"/>
      <c r="E77" s="2"/>
      <c r="F77" s="2"/>
      <c r="G77" s="2"/>
      <c r="H77" s="2"/>
      <c r="I77" s="2"/>
      <c r="J77" s="2"/>
      <c r="K77" s="2"/>
      <c r="L77" s="2"/>
      <c r="M77" s="2"/>
      <c r="N77" s="2"/>
      <c r="O77" s="2"/>
      <c r="P77" s="2"/>
      <c r="Q77" s="2"/>
      <c r="R77" s="2"/>
      <c r="S77" s="2"/>
      <c r="T77" s="2"/>
      <c r="U77" s="2"/>
      <c r="V77" s="2"/>
      <c r="W77" s="2">
        <f>W76*1400</f>
        <v>699126.9435</v>
      </c>
      <c r="X77" s="2"/>
      <c r="Y77" s="289"/>
      <c r="Z77" s="2"/>
      <c r="AA77" s="2"/>
      <c r="AB77" s="32"/>
      <c r="AC77" s="32"/>
      <c r="AD77" s="32"/>
      <c r="AE77" s="32"/>
      <c r="AF77" s="32"/>
      <c r="AH77" s="32"/>
      <c r="AI77" s="32"/>
      <c r="AJ77" s="3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row>
    <row r="78">
      <c r="A78" s="1"/>
      <c r="B78" s="2"/>
      <c r="C78" s="2"/>
      <c r="D78" s="2"/>
      <c r="E78" s="2"/>
      <c r="F78" s="2"/>
      <c r="G78" s="2"/>
      <c r="H78" s="2"/>
      <c r="I78" s="2"/>
      <c r="J78" s="2"/>
      <c r="K78" s="2"/>
      <c r="L78" s="2"/>
      <c r="M78" s="2"/>
      <c r="N78" s="2"/>
      <c r="O78" s="2"/>
      <c r="P78" s="2"/>
      <c r="Q78" s="2"/>
      <c r="R78" s="2"/>
      <c r="S78" s="2"/>
      <c r="T78" s="2"/>
      <c r="U78" s="2"/>
      <c r="V78" s="2"/>
      <c r="W78" s="2">
        <f>W77/1000</f>
        <v>699.1269435</v>
      </c>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row>
    <row r="79">
      <c r="A79" s="1"/>
      <c r="B79" s="2"/>
      <c r="C79" s="2"/>
      <c r="D79" s="2"/>
      <c r="E79" s="2"/>
      <c r="F79" s="2"/>
      <c r="G79" s="2"/>
      <c r="H79" s="2"/>
      <c r="I79" s="2"/>
      <c r="J79" s="2"/>
      <c r="K79" s="2"/>
      <c r="L79" s="2"/>
      <c r="M79" s="2"/>
      <c r="N79" s="2"/>
      <c r="O79" s="2"/>
      <c r="P79" s="2"/>
      <c r="Q79" s="2"/>
      <c r="R79" s="2"/>
      <c r="S79" s="2"/>
      <c r="T79" s="2"/>
      <c r="U79" s="2"/>
      <c r="V79" s="2"/>
      <c r="W79" s="2"/>
      <c r="X79" s="2"/>
      <c r="Y79" s="290"/>
      <c r="Z79" s="290"/>
      <c r="AA79" s="290"/>
      <c r="AB79" s="290"/>
      <c r="AC79" s="2"/>
      <c r="AD79" s="290"/>
      <c r="AE79" s="290"/>
      <c r="AF79" s="290"/>
      <c r="AG79" s="290"/>
      <c r="AH79" s="290"/>
      <c r="AI79" s="290"/>
      <c r="AJ79" s="290"/>
      <c r="AK79" s="2"/>
      <c r="AL79" s="2"/>
      <c r="AM79" s="2"/>
      <c r="AN79" s="7"/>
      <c r="AO79" s="7"/>
      <c r="AP79" s="2"/>
      <c r="AQ79" s="2"/>
      <c r="AR79" s="2"/>
      <c r="AS79" s="2"/>
      <c r="AT79" s="2"/>
      <c r="AU79" s="2"/>
      <c r="AV79" s="2"/>
      <c r="AW79" s="2"/>
      <c r="AX79" s="2"/>
      <c r="AY79" s="2"/>
      <c r="AZ79" s="2"/>
      <c r="BA79" s="2"/>
      <c r="BB79" s="2"/>
      <c r="BC79" s="2"/>
      <c r="BD79" s="2"/>
      <c r="BE79" s="2"/>
      <c r="BF79" s="2"/>
      <c r="BG79" s="2"/>
      <c r="BH79" s="2"/>
      <c r="BI79" s="2"/>
      <c r="BJ79" s="2"/>
      <c r="BK79" s="2"/>
      <c r="BL79" s="2"/>
    </row>
    <row r="80">
      <c r="A80" s="1"/>
      <c r="B80" s="2"/>
      <c r="C80" s="2"/>
      <c r="D80" s="2"/>
      <c r="E80" s="2"/>
      <c r="F80" s="2"/>
      <c r="G80" s="2"/>
      <c r="H80" s="2"/>
      <c r="I80" s="2"/>
      <c r="J80" s="2"/>
      <c r="K80" s="2"/>
      <c r="L80" s="2"/>
      <c r="M80" s="2"/>
      <c r="N80" s="2"/>
      <c r="O80" s="2"/>
      <c r="P80" s="2"/>
      <c r="Q80" s="2"/>
      <c r="R80" s="2"/>
      <c r="S80" s="2"/>
      <c r="T80" s="2"/>
      <c r="U80" s="2"/>
      <c r="V80" s="2"/>
      <c r="W80" s="2"/>
      <c r="X80" s="2"/>
      <c r="Y80" s="2"/>
      <c r="Z80" s="2"/>
      <c r="AA80" s="2" t="str">
        <f t="shared" ref="AA80:AC80" si="54">#REF!+1</f>
        <v>#REF!</v>
      </c>
      <c r="AB80" s="276" t="str">
        <f t="shared" si="54"/>
        <v>#REF!</v>
      </c>
      <c r="AC80" s="276" t="str">
        <f t="shared" si="54"/>
        <v>#REF!</v>
      </c>
      <c r="AD80" s="7" t="str">
        <f>#REF!*#REF!*#REF!/1000000</f>
        <v>#REF!</v>
      </c>
      <c r="AE80" s="7" t="str">
        <f>#REF!/2</f>
        <v>#REF!</v>
      </c>
      <c r="AF80" s="276"/>
      <c r="AG80" s="7"/>
      <c r="AH80" s="7" t="s">
        <v>246</v>
      </c>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row>
    <row r="81">
      <c r="A81" s="1"/>
      <c r="B81" s="2"/>
      <c r="C81" s="2"/>
      <c r="D81" s="2"/>
      <c r="E81" s="2"/>
      <c r="F81" s="2"/>
      <c r="G81" s="2"/>
      <c r="H81" s="2"/>
      <c r="I81" s="2"/>
      <c r="J81" s="2"/>
      <c r="K81" s="2"/>
      <c r="L81" s="2"/>
      <c r="M81" s="2"/>
      <c r="N81" s="2"/>
      <c r="O81" s="2"/>
      <c r="P81" s="2"/>
      <c r="Q81" s="2"/>
      <c r="R81" s="2"/>
      <c r="S81" s="2"/>
      <c r="T81" s="2"/>
      <c r="U81" s="2"/>
      <c r="V81" s="2"/>
      <c r="W81" s="2"/>
      <c r="X81" s="2"/>
      <c r="Y81" s="2"/>
      <c r="Z81" s="2"/>
      <c r="AA81" s="151">
        <v>1016.05</v>
      </c>
      <c r="AB81" s="79">
        <v>1016.05</v>
      </c>
      <c r="AC81" s="291">
        <v>948.3600000000001</v>
      </c>
      <c r="AD81" s="151">
        <v>979.0466559069</v>
      </c>
      <c r="AE81" s="7">
        <f t="shared" ref="AE81:AG81" si="55">AA81/2</f>
        <v>508.025</v>
      </c>
      <c r="AF81" s="7">
        <f t="shared" si="55"/>
        <v>508.025</v>
      </c>
      <c r="AG81" s="7">
        <f t="shared" si="55"/>
        <v>474.18</v>
      </c>
      <c r="AH81" s="7" t="s">
        <v>247</v>
      </c>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row>
    <row r="82">
      <c r="A82" s="1"/>
      <c r="B82" s="2"/>
      <c r="C82" s="2"/>
      <c r="D82" s="2"/>
      <c r="E82" s="2"/>
      <c r="F82" s="2"/>
      <c r="G82" s="2"/>
      <c r="H82" s="2"/>
      <c r="I82" s="2"/>
      <c r="J82" s="2"/>
      <c r="K82" s="2"/>
      <c r="L82" s="2"/>
      <c r="M82" s="2"/>
      <c r="N82" s="2"/>
      <c r="O82" s="2"/>
      <c r="P82" s="2"/>
      <c r="Q82" s="2"/>
      <c r="R82" s="2"/>
      <c r="S82" s="2"/>
      <c r="T82" s="2"/>
      <c r="U82" s="2"/>
      <c r="V82" s="2"/>
      <c r="W82" s="2"/>
      <c r="X82" s="2"/>
      <c r="Y82" s="2"/>
      <c r="Z82" s="2"/>
      <c r="AA82" s="2">
        <v>1014.2499999999998</v>
      </c>
      <c r="AB82" s="291">
        <v>1014.2499999999998</v>
      </c>
      <c r="AC82" s="291">
        <v>946.5600000000001</v>
      </c>
      <c r="AD82" s="151">
        <v>973.72917084</v>
      </c>
      <c r="AE82" s="7">
        <f t="shared" ref="AE82:AG82" si="56">AA82/2</f>
        <v>507.125</v>
      </c>
      <c r="AF82" s="7">
        <f t="shared" si="56"/>
        <v>507.125</v>
      </c>
      <c r="AG82" s="7">
        <f t="shared" si="56"/>
        <v>473.28</v>
      </c>
      <c r="AH82" s="7" t="s">
        <v>248</v>
      </c>
      <c r="AI82" s="2"/>
      <c r="AJ82" s="2"/>
      <c r="AK82" s="2"/>
      <c r="AL82" s="2"/>
      <c r="AM82" s="2"/>
      <c r="AN82" s="7"/>
      <c r="AO82" s="2"/>
      <c r="AP82" s="2"/>
      <c r="AQ82" s="2"/>
      <c r="AR82" s="2"/>
      <c r="AS82" s="2"/>
      <c r="AT82" s="2"/>
      <c r="AU82" s="2"/>
      <c r="AV82" s="2"/>
      <c r="AW82" s="2"/>
      <c r="AX82" s="2"/>
      <c r="AY82" s="2"/>
      <c r="AZ82" s="2"/>
      <c r="BA82" s="2"/>
      <c r="BB82" s="2"/>
      <c r="BC82" s="2"/>
      <c r="BD82" s="2"/>
      <c r="BE82" s="2"/>
      <c r="BF82" s="2"/>
      <c r="BG82" s="2"/>
      <c r="BH82" s="2"/>
      <c r="BI82" s="2"/>
      <c r="BJ82" s="2"/>
      <c r="BK82" s="2"/>
      <c r="BL82" s="2"/>
    </row>
    <row r="83">
      <c r="A83" s="1"/>
      <c r="B83" s="2"/>
      <c r="C83" s="2"/>
      <c r="D83" s="2"/>
      <c r="E83" s="2"/>
      <c r="F83" s="2"/>
      <c r="G83" s="2"/>
      <c r="H83" s="2"/>
      <c r="I83" s="2"/>
      <c r="J83" s="2"/>
      <c r="K83" s="2"/>
      <c r="L83" s="2"/>
      <c r="M83" s="2"/>
      <c r="N83" s="2"/>
      <c r="O83" s="2"/>
      <c r="P83" s="2"/>
      <c r="Q83" s="2"/>
      <c r="R83" s="2"/>
      <c r="S83" s="2"/>
      <c r="T83" s="2"/>
      <c r="U83" s="2"/>
      <c r="V83" s="2"/>
      <c r="W83" s="2"/>
      <c r="X83" s="2"/>
      <c r="Y83" s="2"/>
      <c r="Z83" s="2"/>
      <c r="AA83" s="2">
        <v>956.0499999999997</v>
      </c>
      <c r="AB83" s="291">
        <v>956.0499999999997</v>
      </c>
      <c r="AC83" s="291">
        <v>888.3599999999999</v>
      </c>
      <c r="AD83" s="79">
        <v>811.9891143968996</v>
      </c>
      <c r="AE83" s="7">
        <f t="shared" ref="AE83:AG83" si="57">AA83/2</f>
        <v>478.025</v>
      </c>
      <c r="AF83" s="7">
        <f t="shared" si="57"/>
        <v>478.025</v>
      </c>
      <c r="AG83" s="7">
        <f t="shared" si="57"/>
        <v>444.18</v>
      </c>
      <c r="AH83" s="7" t="s">
        <v>249</v>
      </c>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row>
    <row r="84">
      <c r="A84" s="1"/>
      <c r="B84" s="2"/>
      <c r="C84" s="2"/>
      <c r="D84" s="2"/>
      <c r="E84" s="2"/>
      <c r="F84" s="2"/>
      <c r="G84" s="2"/>
      <c r="H84" s="2"/>
      <c r="I84" s="2"/>
      <c r="J84" s="2"/>
      <c r="K84" s="2"/>
      <c r="L84" s="2"/>
      <c r="M84" s="2"/>
      <c r="N84" s="2"/>
      <c r="O84" s="2"/>
      <c r="P84" s="2"/>
      <c r="Q84" s="2"/>
      <c r="R84" s="2"/>
      <c r="S84" s="2"/>
      <c r="T84" s="2"/>
      <c r="U84" s="2"/>
      <c r="V84" s="2"/>
      <c r="W84" s="2"/>
      <c r="X84" s="2"/>
      <c r="Y84" s="2"/>
      <c r="Z84" s="2"/>
      <c r="AA84" s="2">
        <v>955.9299999999997</v>
      </c>
      <c r="AB84" s="291">
        <v>955.9299999999997</v>
      </c>
      <c r="AC84" s="291">
        <v>888.2399999999999</v>
      </c>
      <c r="AD84" s="2">
        <v>811.6756349507754</v>
      </c>
      <c r="AE84" s="7">
        <f t="shared" ref="AE84:AG84" si="58">AA84/2</f>
        <v>477.965</v>
      </c>
      <c r="AF84" s="7">
        <f t="shared" si="58"/>
        <v>477.965</v>
      </c>
      <c r="AG84" s="7">
        <f t="shared" si="58"/>
        <v>444.12</v>
      </c>
      <c r="AH84" s="7" t="s">
        <v>93</v>
      </c>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row>
    <row r="85">
      <c r="A85" s="1"/>
      <c r="B85" s="2"/>
      <c r="C85" s="2"/>
      <c r="D85" s="2"/>
      <c r="E85" s="2"/>
      <c r="F85" s="2"/>
      <c r="G85" s="2"/>
      <c r="H85" s="2"/>
      <c r="I85" s="2"/>
      <c r="J85" s="2"/>
      <c r="K85" s="2"/>
      <c r="L85" s="2"/>
      <c r="M85" s="2"/>
      <c r="N85" s="2"/>
      <c r="O85" s="2"/>
      <c r="P85" s="2"/>
      <c r="Q85" s="2"/>
      <c r="R85" s="2"/>
      <c r="S85" s="2"/>
      <c r="T85" s="2"/>
      <c r="U85" s="2"/>
      <c r="V85" s="2"/>
      <c r="W85" s="2"/>
      <c r="X85" s="2"/>
      <c r="Y85" s="2"/>
      <c r="Z85" s="2"/>
      <c r="AA85" s="2">
        <v>938.3299999999997</v>
      </c>
      <c r="AB85" s="291">
        <v>938.3299999999997</v>
      </c>
      <c r="AC85" s="291">
        <v>870.6399999999999</v>
      </c>
      <c r="AD85" s="151">
        <v>766.566470783895</v>
      </c>
      <c r="AE85" s="7">
        <f t="shared" ref="AE85:AG85" si="59">AA85/2</f>
        <v>469.165</v>
      </c>
      <c r="AF85" s="7">
        <f t="shared" si="59"/>
        <v>469.165</v>
      </c>
      <c r="AG85" s="7">
        <f t="shared" si="59"/>
        <v>435.32</v>
      </c>
      <c r="AH85" s="7" t="s">
        <v>250</v>
      </c>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row>
    <row r="86">
      <c r="A86" s="1"/>
      <c r="B86" s="2"/>
      <c r="C86" s="2"/>
      <c r="D86" s="2"/>
      <c r="E86" s="2"/>
      <c r="F86" s="2"/>
      <c r="G86" s="2"/>
      <c r="H86" s="2"/>
      <c r="I86" s="7" t="s">
        <v>190</v>
      </c>
      <c r="J86" s="290">
        <v>103.390051</v>
      </c>
      <c r="K86" s="2"/>
      <c r="L86" s="2"/>
      <c r="M86" s="2"/>
      <c r="N86" s="2"/>
      <c r="O86" s="2"/>
      <c r="P86" s="2"/>
      <c r="Q86" s="2"/>
      <c r="R86" s="2"/>
      <c r="S86" s="2"/>
      <c r="T86" s="2"/>
      <c r="U86" s="2"/>
      <c r="V86" s="2"/>
      <c r="W86" s="2"/>
      <c r="X86" s="2"/>
      <c r="Y86" s="2"/>
      <c r="Z86" s="2"/>
      <c r="AA86" s="2">
        <v>935.9299999999997</v>
      </c>
      <c r="AB86" s="291">
        <v>935.9299999999997</v>
      </c>
      <c r="AC86" s="291">
        <v>868.2399999999999</v>
      </c>
      <c r="AD86" s="2">
        <v>760.5478211247755</v>
      </c>
      <c r="AE86" s="7">
        <f t="shared" ref="AE86:AG86" si="60">AA86/2</f>
        <v>467.965</v>
      </c>
      <c r="AF86" s="7">
        <f t="shared" si="60"/>
        <v>467.965</v>
      </c>
      <c r="AG86" s="7">
        <f t="shared" si="60"/>
        <v>434.12</v>
      </c>
      <c r="AH86" s="7" t="s">
        <v>251</v>
      </c>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row>
    <row r="87">
      <c r="A87" s="1"/>
      <c r="B87" s="2"/>
      <c r="C87" s="2"/>
      <c r="D87" s="2"/>
      <c r="E87" s="2"/>
      <c r="F87" s="2"/>
      <c r="G87" s="2"/>
      <c r="H87" s="2"/>
      <c r="I87" s="7" t="s">
        <v>252</v>
      </c>
      <c r="J87" s="2">
        <f>N125</f>
        <v>1.828888889</v>
      </c>
      <c r="K87" s="2"/>
      <c r="L87" s="2"/>
      <c r="M87" s="2"/>
      <c r="N87" s="2"/>
      <c r="O87" s="2"/>
      <c r="P87" s="2"/>
      <c r="Q87" s="2"/>
      <c r="R87" s="2"/>
      <c r="S87" s="2"/>
      <c r="T87" s="2"/>
      <c r="U87" s="2"/>
      <c r="V87" s="2"/>
      <c r="W87" s="2"/>
      <c r="X87" s="2"/>
      <c r="Y87" s="2"/>
      <c r="Z87" s="2"/>
      <c r="AA87" s="2">
        <v>933.5299999999999</v>
      </c>
      <c r="AB87" s="291">
        <v>933.5299999999999</v>
      </c>
      <c r="AC87" s="291">
        <v>865.84</v>
      </c>
      <c r="AD87" s="2">
        <v>754.5607374176558</v>
      </c>
      <c r="AE87" s="7">
        <f t="shared" ref="AE87:AG87" si="61">AA87/2</f>
        <v>466.765</v>
      </c>
      <c r="AF87" s="7">
        <f t="shared" si="61"/>
        <v>466.765</v>
      </c>
      <c r="AG87" s="7">
        <f t="shared" si="61"/>
        <v>432.92</v>
      </c>
      <c r="AH87" s="7" t="s">
        <v>253</v>
      </c>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row>
    <row r="88">
      <c r="A88" s="1"/>
      <c r="B88" s="2"/>
      <c r="C88" s="2"/>
      <c r="D88" s="2"/>
      <c r="E88" s="2"/>
      <c r="F88" s="2"/>
      <c r="G88" s="2"/>
      <c r="H88" s="2"/>
      <c r="I88" s="7" t="s">
        <v>254</v>
      </c>
      <c r="J88" s="2">
        <f>J87/J86</f>
        <v>0.01768921546</v>
      </c>
      <c r="K88" s="2"/>
      <c r="L88" s="2"/>
      <c r="M88" s="2"/>
      <c r="N88" s="2"/>
      <c r="O88" s="2"/>
      <c r="P88" s="2"/>
      <c r="Q88" s="2"/>
      <c r="R88" s="2"/>
      <c r="S88" s="2"/>
      <c r="T88" s="2"/>
      <c r="U88" s="2"/>
      <c r="V88" s="2"/>
      <c r="W88" s="2"/>
      <c r="X88" s="2"/>
      <c r="Y88" s="2"/>
      <c r="Z88" s="2"/>
      <c r="AA88" s="2">
        <v>860.3299999999999</v>
      </c>
      <c r="AB88" s="291">
        <v>860.3299999999999</v>
      </c>
      <c r="AC88" s="291">
        <v>792.64</v>
      </c>
      <c r="AD88" s="2">
        <v>586.6865327824959</v>
      </c>
      <c r="AE88" s="7">
        <f t="shared" ref="AE88:AG88" si="62">AA88/2</f>
        <v>430.165</v>
      </c>
      <c r="AF88" s="7">
        <f t="shared" si="62"/>
        <v>430.165</v>
      </c>
      <c r="AG88" s="7">
        <f t="shared" si="62"/>
        <v>396.32</v>
      </c>
      <c r="AH88" s="7" t="s">
        <v>89</v>
      </c>
      <c r="AI88" s="7"/>
      <c r="AJ88" s="7"/>
      <c r="AK88" s="7"/>
      <c r="AL88" s="7"/>
      <c r="AM88" s="2"/>
      <c r="AN88" s="2"/>
      <c r="AO88" s="2"/>
      <c r="AP88" s="2"/>
      <c r="AQ88" s="2"/>
      <c r="AR88" s="7"/>
      <c r="AS88" s="7"/>
      <c r="AT88" s="7"/>
      <c r="AU88" s="2"/>
      <c r="AV88" s="2"/>
      <c r="AW88" s="2"/>
      <c r="AX88" s="2"/>
      <c r="AY88" s="2"/>
      <c r="AZ88" s="2"/>
      <c r="BA88" s="2"/>
      <c r="BB88" s="2"/>
      <c r="BC88" s="2"/>
      <c r="BD88" s="2"/>
      <c r="BE88" s="2"/>
      <c r="BF88" s="2"/>
      <c r="BG88" s="2"/>
      <c r="BH88" s="2"/>
      <c r="BI88" s="2"/>
      <c r="BJ88" s="2"/>
      <c r="BK88" s="2"/>
      <c r="BL88" s="2"/>
    </row>
    <row r="89">
      <c r="A89" s="1"/>
      <c r="B89" s="2"/>
      <c r="C89" s="2"/>
      <c r="D89" s="2"/>
      <c r="E89" s="2"/>
      <c r="F89" s="2"/>
      <c r="G89" s="2"/>
      <c r="H89" s="2"/>
      <c r="I89" s="2"/>
      <c r="J89" s="7"/>
      <c r="K89" s="2"/>
      <c r="L89" s="2"/>
      <c r="M89" s="2"/>
      <c r="N89" s="2"/>
      <c r="O89" s="2"/>
      <c r="P89" s="2"/>
      <c r="Q89" s="2"/>
      <c r="R89" s="2"/>
      <c r="S89" s="2"/>
      <c r="T89" s="2"/>
      <c r="U89" s="2"/>
      <c r="V89" s="2"/>
      <c r="W89" s="2"/>
      <c r="X89" s="2"/>
      <c r="Y89" s="2"/>
      <c r="Z89" s="2"/>
      <c r="AA89" s="2">
        <v>857.93</v>
      </c>
      <c r="AB89" s="291">
        <v>857.93</v>
      </c>
      <c r="AC89" s="291">
        <v>790.24</v>
      </c>
      <c r="AD89" s="2">
        <v>581.651319603376</v>
      </c>
      <c r="AE89" s="7">
        <f t="shared" ref="AE89:AG89" si="63">AA89/2</f>
        <v>428.965</v>
      </c>
      <c r="AF89" s="7">
        <f t="shared" si="63"/>
        <v>428.965</v>
      </c>
      <c r="AG89" s="7">
        <f t="shared" si="63"/>
        <v>395.12</v>
      </c>
      <c r="AH89" s="7" t="s">
        <v>255</v>
      </c>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row>
    <row r="90">
      <c r="A90" s="1"/>
      <c r="B90" s="2"/>
      <c r="C90" s="2"/>
      <c r="D90" s="2"/>
      <c r="E90" s="2"/>
      <c r="F90" s="2"/>
      <c r="G90" s="2"/>
      <c r="H90" s="2"/>
      <c r="I90" s="2"/>
      <c r="J90" s="7"/>
      <c r="K90" s="2"/>
      <c r="L90" s="2"/>
      <c r="M90" s="2"/>
      <c r="N90" s="2"/>
      <c r="O90" s="2"/>
      <c r="P90" s="2"/>
      <c r="Q90" s="2"/>
      <c r="R90" s="2"/>
      <c r="S90" s="2"/>
      <c r="T90" s="2"/>
      <c r="U90" s="2"/>
      <c r="V90" s="2"/>
      <c r="W90" s="2"/>
      <c r="X90" s="2"/>
      <c r="Y90" s="2"/>
      <c r="Z90" s="2"/>
      <c r="AA90" s="151">
        <v>857.69</v>
      </c>
      <c r="AB90" s="141">
        <v>857.69</v>
      </c>
      <c r="AC90" s="141">
        <v>790.0</v>
      </c>
      <c r="AD90" s="7">
        <f>AA90*AB90*AC90/1000000</f>
        <v>581.1493875</v>
      </c>
      <c r="AE90" s="7">
        <f t="shared" ref="AE90:AG90" si="64">AA90/2</f>
        <v>428.845</v>
      </c>
      <c r="AF90" s="7">
        <f t="shared" si="64"/>
        <v>428.845</v>
      </c>
      <c r="AG90" s="7">
        <f t="shared" si="64"/>
        <v>395</v>
      </c>
      <c r="AH90" s="7" t="s">
        <v>256</v>
      </c>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row>
    <row r="91">
      <c r="A91" s="1"/>
      <c r="B91" s="2"/>
      <c r="C91" s="2"/>
      <c r="D91" s="2"/>
      <c r="E91" s="2"/>
      <c r="F91" s="2"/>
      <c r="G91" s="2"/>
      <c r="H91" s="2"/>
      <c r="I91" s="2"/>
      <c r="J91" s="7"/>
      <c r="K91" s="2"/>
      <c r="L91" s="2"/>
      <c r="M91" s="2"/>
      <c r="N91" s="2"/>
      <c r="O91" s="2"/>
      <c r="P91" s="2"/>
      <c r="Q91" s="2"/>
      <c r="R91" s="2"/>
      <c r="S91" s="2"/>
      <c r="T91" s="2"/>
      <c r="U91" s="2"/>
      <c r="V91" s="2"/>
      <c r="W91" s="2"/>
      <c r="X91" s="2"/>
      <c r="Y91" s="2"/>
      <c r="Z91" s="2"/>
      <c r="AA91" s="2"/>
      <c r="AB91" s="2"/>
      <c r="AC91" s="2"/>
      <c r="AD91" s="2"/>
      <c r="AE91" s="7"/>
      <c r="AF91" s="7"/>
      <c r="AG91" s="7"/>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row>
    <row r="92">
      <c r="A92" s="1"/>
      <c r="B92" s="2"/>
      <c r="C92" s="2"/>
      <c r="D92" s="2"/>
      <c r="E92" s="2"/>
      <c r="F92" s="2"/>
      <c r="G92" s="2"/>
      <c r="H92" s="2"/>
      <c r="I92" s="2"/>
      <c r="J92" s="7"/>
      <c r="K92" s="2"/>
      <c r="L92" s="2"/>
      <c r="M92" s="7">
        <v>163.0</v>
      </c>
      <c r="N92" s="7">
        <v>365.0</v>
      </c>
      <c r="O92" s="7">
        <v>15.0</v>
      </c>
      <c r="P92" s="2">
        <f>M92*N92*O92</f>
        <v>892425</v>
      </c>
      <c r="Q92" s="2"/>
      <c r="R92" s="2"/>
      <c r="S92" s="2"/>
      <c r="T92" s="2"/>
      <c r="U92" s="2"/>
      <c r="V92" s="2"/>
      <c r="W92" s="2"/>
      <c r="X92" s="2"/>
      <c r="Y92" s="2"/>
      <c r="Z92" s="2"/>
      <c r="AA92" s="2"/>
      <c r="AB92" s="2"/>
      <c r="AC92" s="2"/>
      <c r="AD92" s="2"/>
      <c r="AE92" s="7"/>
      <c r="AF92" s="7"/>
      <c r="AG92" s="7"/>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row>
    <row r="93">
      <c r="A93" s="1"/>
      <c r="B93" s="2"/>
      <c r="C93" s="2"/>
      <c r="D93" s="2"/>
      <c r="E93" s="2"/>
      <c r="F93" s="2"/>
      <c r="G93" s="2"/>
      <c r="H93" s="2"/>
      <c r="I93" s="2"/>
      <c r="J93" s="2"/>
      <c r="K93" s="2"/>
      <c r="L93" s="2"/>
      <c r="M93" s="2"/>
      <c r="N93" s="2"/>
      <c r="O93" s="2"/>
      <c r="P93" s="2">
        <f>P92*8</f>
        <v>7139400</v>
      </c>
      <c r="Q93" s="2"/>
      <c r="R93" s="2"/>
      <c r="S93" s="2"/>
      <c r="T93" s="2"/>
      <c r="U93" s="2"/>
      <c r="V93" s="2"/>
      <c r="W93" s="2"/>
      <c r="X93" s="2"/>
      <c r="Y93" s="2"/>
      <c r="Z93" s="2"/>
      <c r="AA93" s="2"/>
      <c r="AB93" s="2"/>
      <c r="AC93" s="2"/>
      <c r="AD93" s="2"/>
      <c r="AE93" s="7"/>
      <c r="AF93" s="7"/>
      <c r="AG93" s="7"/>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row>
    <row r="94">
      <c r="A94" s="1"/>
      <c r="B94" s="2"/>
      <c r="C94" s="2"/>
      <c r="D94" s="2"/>
      <c r="E94" s="2"/>
      <c r="F94" s="2"/>
      <c r="G94" s="2"/>
      <c r="H94" s="2"/>
      <c r="I94" s="2"/>
      <c r="J94" s="7"/>
      <c r="K94" s="2"/>
      <c r="L94" s="2"/>
      <c r="M94" s="7"/>
      <c r="N94" s="2"/>
      <c r="O94" s="2"/>
      <c r="P94" s="2">
        <f>P93/1000000</f>
        <v>7.1394</v>
      </c>
      <c r="Q94" s="2"/>
      <c r="R94" s="2"/>
      <c r="S94" s="2"/>
      <c r="T94" s="2"/>
      <c r="U94" s="2"/>
      <c r="V94" s="2"/>
      <c r="W94" s="2"/>
      <c r="X94" s="2"/>
      <c r="Y94" s="2"/>
      <c r="Z94" s="2"/>
      <c r="AA94" s="2"/>
      <c r="AB94" s="2"/>
      <c r="AC94" s="2"/>
      <c r="AD94" s="2"/>
      <c r="AE94" s="7"/>
      <c r="AF94" s="7"/>
      <c r="AG94" s="7"/>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row>
    <row r="95">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7"/>
      <c r="AF95" s="7"/>
      <c r="AG95" s="7"/>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row>
    <row r="96">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7"/>
      <c r="AF96" s="7"/>
      <c r="AG96" s="7"/>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row>
    <row r="97">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7"/>
      <c r="AF97" s="7"/>
      <c r="AG97" s="7"/>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row>
    <row r="98">
      <c r="A98" s="1"/>
      <c r="B98" s="2"/>
      <c r="C98" s="2"/>
      <c r="D98" s="2"/>
      <c r="E98" s="2"/>
      <c r="F98" s="2"/>
      <c r="G98" s="2"/>
      <c r="H98" s="2"/>
      <c r="I98" s="2"/>
      <c r="J98" s="292">
        <v>716852.384</v>
      </c>
      <c r="K98" s="2"/>
      <c r="L98" s="2"/>
      <c r="M98" s="2"/>
      <c r="N98" s="2"/>
      <c r="O98" s="2"/>
      <c r="P98" s="2"/>
      <c r="Q98" s="2"/>
      <c r="R98" s="2"/>
      <c r="S98" s="2"/>
      <c r="T98" s="2"/>
      <c r="U98" s="2"/>
      <c r="V98" s="2"/>
      <c r="W98" s="2"/>
      <c r="X98" s="2"/>
      <c r="Y98" s="2"/>
      <c r="Z98" s="2"/>
      <c r="AA98" s="2"/>
      <c r="AB98" s="2"/>
      <c r="AC98" s="2"/>
      <c r="AD98" s="2"/>
      <c r="AE98" s="7"/>
      <c r="AF98" s="7"/>
      <c r="AG98" s="7"/>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row>
    <row r="99">
      <c r="A99" s="1"/>
      <c r="B99" s="2"/>
      <c r="C99" s="6"/>
      <c r="D99" s="6"/>
      <c r="E99" s="6"/>
      <c r="F99" s="6"/>
      <c r="G99" s="6"/>
      <c r="H99" s="6"/>
      <c r="I99" s="6"/>
      <c r="J99" s="7">
        <v>71.68</v>
      </c>
      <c r="K99" s="2"/>
      <c r="L99" s="2"/>
      <c r="M99" s="2"/>
      <c r="N99" s="2"/>
      <c r="O99" s="2"/>
      <c r="P99" s="2"/>
      <c r="Q99" s="2"/>
      <c r="R99" s="2"/>
      <c r="S99" s="2"/>
      <c r="T99" s="2"/>
      <c r="U99" s="2"/>
      <c r="V99" s="2"/>
      <c r="W99" s="2"/>
      <c r="X99" s="2"/>
      <c r="Y99" s="2"/>
      <c r="Z99" s="2"/>
      <c r="AA99" s="2"/>
      <c r="AB99" s="2"/>
      <c r="AC99" s="2"/>
      <c r="AD99" s="2"/>
      <c r="AE99" s="2"/>
      <c r="AF99" s="7"/>
      <c r="AG99" s="7"/>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row>
    <row r="100">
      <c r="A100" s="1"/>
      <c r="B100" s="2"/>
      <c r="C100" s="2"/>
      <c r="D100" s="2"/>
      <c r="E100" s="2"/>
      <c r="F100" s="2"/>
      <c r="G100" s="2"/>
      <c r="H100" s="2"/>
      <c r="I100" s="2"/>
      <c r="J100" s="2">
        <f>M47/J99</f>
        <v>0.0009765625</v>
      </c>
      <c r="K100" s="2"/>
      <c r="L100" s="2"/>
      <c r="M100" s="2"/>
      <c r="N100" s="2"/>
      <c r="O100" s="2"/>
      <c r="P100" s="2"/>
      <c r="Q100" s="2"/>
      <c r="R100" s="2"/>
      <c r="S100" s="2"/>
      <c r="T100" s="2"/>
      <c r="U100" s="2"/>
      <c r="V100" s="2"/>
      <c r="W100" s="2"/>
      <c r="X100" s="2"/>
      <c r="Y100" s="2"/>
      <c r="Z100" s="2"/>
      <c r="AA100" s="2"/>
      <c r="AB100" s="2"/>
      <c r="AC100" s="2"/>
      <c r="AD100" s="2"/>
      <c r="AE100" s="7"/>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row>
    <row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row>
    <row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row>
    <row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row>
    <row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row>
    <row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row>
    <row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7"/>
      <c r="AB106" s="7"/>
      <c r="AC106" s="7"/>
      <c r="AD106" s="7"/>
      <c r="AE106" s="7"/>
      <c r="AF106" s="2"/>
      <c r="AG106" s="2"/>
      <c r="AH106" s="7"/>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row>
    <row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7"/>
      <c r="AF107" s="2"/>
      <c r="AG107" s="2"/>
      <c r="AH107" s="7"/>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row>
    <row r="108">
      <c r="A108" s="1"/>
      <c r="B108" s="2"/>
      <c r="C108" s="2"/>
      <c r="D108" s="2"/>
      <c r="E108" s="2"/>
      <c r="F108" s="7" t="s">
        <v>257</v>
      </c>
      <c r="G108" s="2">
        <f>570.2*2</f>
        <v>1140.4</v>
      </c>
      <c r="H108" s="2">
        <f>537.8-535</f>
        <v>2.8</v>
      </c>
      <c r="I108" s="2">
        <f>411.4-388.6</f>
        <v>22.8</v>
      </c>
      <c r="J108" s="2">
        <f t="shared" ref="J108:J110" si="65">G108*H108*I108</f>
        <v>72803.136</v>
      </c>
      <c r="K108" s="2">
        <f t="shared" ref="K108:K110" si="66">J108/1000000</f>
        <v>0.072803136</v>
      </c>
      <c r="L108" s="2">
        <f t="shared" ref="L108:L110" si="67">K108*216</f>
        <v>15.72547738</v>
      </c>
      <c r="M108" s="2">
        <f>sum(L108:L110)</f>
        <v>56.07040942</v>
      </c>
      <c r="N108" s="7">
        <v>7820.0</v>
      </c>
      <c r="O108" s="2">
        <f>M108*N108</f>
        <v>438470.6017</v>
      </c>
      <c r="P108" s="2"/>
      <c r="Q108" s="2"/>
      <c r="R108" s="2"/>
      <c r="S108" s="2"/>
      <c r="T108" s="2"/>
      <c r="U108" s="2"/>
      <c r="V108" s="2"/>
      <c r="W108" s="2"/>
      <c r="X108" s="2"/>
      <c r="Y108" s="2"/>
      <c r="Z108" s="2"/>
      <c r="AA108" s="2"/>
      <c r="AB108" s="2"/>
      <c r="AC108" s="2"/>
      <c r="AD108" s="2"/>
      <c r="AE108" s="2"/>
      <c r="AF108" s="2"/>
      <c r="AG108" s="2"/>
      <c r="AH108" s="7"/>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row>
    <row r="109">
      <c r="A109" s="1"/>
      <c r="B109" s="2"/>
      <c r="C109" s="2"/>
      <c r="D109" s="2"/>
      <c r="E109" s="2"/>
      <c r="F109" s="7" t="s">
        <v>258</v>
      </c>
      <c r="G109" s="7">
        <f t="shared" ref="G109:G110" si="68">508.4*2</f>
        <v>1016.8</v>
      </c>
      <c r="H109" s="7">
        <f>535-478.8</f>
        <v>56.2</v>
      </c>
      <c r="I109" s="7">
        <f>400.9-399.1</f>
        <v>1.8</v>
      </c>
      <c r="J109" s="2">
        <f t="shared" si="65"/>
        <v>102859.488</v>
      </c>
      <c r="K109" s="2">
        <f t="shared" si="66"/>
        <v>0.102859488</v>
      </c>
      <c r="L109" s="2">
        <f t="shared" si="67"/>
        <v>22.21764941</v>
      </c>
      <c r="N109" s="2"/>
      <c r="O109" s="2">
        <f>O108/1000</f>
        <v>438.4706017</v>
      </c>
      <c r="P109" s="2"/>
      <c r="Q109" s="2"/>
      <c r="R109" s="2"/>
      <c r="S109" s="2"/>
      <c r="T109" s="2"/>
      <c r="U109" s="2"/>
      <c r="V109" s="2"/>
      <c r="W109" s="2"/>
      <c r="X109" s="2"/>
      <c r="Y109" s="2"/>
      <c r="Z109" s="2"/>
      <c r="AA109" s="2"/>
      <c r="AB109" s="2"/>
      <c r="AC109" s="2"/>
      <c r="AD109" s="2"/>
      <c r="AE109" s="2"/>
      <c r="AF109" s="2"/>
      <c r="AG109" s="2"/>
      <c r="AH109" s="7"/>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row>
    <row r="110">
      <c r="A110" s="1"/>
      <c r="B110" s="2"/>
      <c r="C110" s="2"/>
      <c r="D110" s="2"/>
      <c r="E110" s="2"/>
      <c r="F110" s="7" t="s">
        <v>259</v>
      </c>
      <c r="G110" s="2">
        <f t="shared" si="68"/>
        <v>1016.8</v>
      </c>
      <c r="H110" s="2">
        <f>478.8-475.18</f>
        <v>3.62</v>
      </c>
      <c r="I110" s="2">
        <f>411.4-388.6</f>
        <v>22.8</v>
      </c>
      <c r="J110" s="2">
        <f t="shared" si="65"/>
        <v>83922.6048</v>
      </c>
      <c r="K110" s="2">
        <f t="shared" si="66"/>
        <v>0.0839226048</v>
      </c>
      <c r="L110" s="2">
        <f t="shared" si="67"/>
        <v>18.12728264</v>
      </c>
      <c r="N110" s="2"/>
      <c r="O110" s="2"/>
      <c r="P110" s="2"/>
      <c r="Q110" s="2"/>
      <c r="R110" s="2"/>
      <c r="S110" s="2"/>
      <c r="T110" s="2"/>
      <c r="U110" s="2"/>
      <c r="V110" s="2"/>
      <c r="W110" s="2"/>
      <c r="X110" s="2"/>
      <c r="Y110" s="2"/>
      <c r="Z110" s="2"/>
      <c r="AA110" s="2"/>
      <c r="AB110" s="2"/>
      <c r="AC110" s="2"/>
      <c r="AD110" s="2"/>
      <c r="AE110" s="2"/>
      <c r="AF110" s="2"/>
      <c r="AG110" s="2"/>
      <c r="AH110" s="7"/>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row>
    <row r="111">
      <c r="A111" s="1"/>
      <c r="B111" s="2"/>
      <c r="C111" s="2"/>
      <c r="D111" s="2"/>
      <c r="E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7"/>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row>
    <row r="112">
      <c r="A112" s="1"/>
      <c r="B112" s="2"/>
      <c r="C112" s="2"/>
      <c r="D112" s="2"/>
      <c r="E112" s="2"/>
      <c r="F112" s="2"/>
      <c r="G112" s="7" t="s">
        <v>14</v>
      </c>
      <c r="H112" s="7" t="s">
        <v>15</v>
      </c>
      <c r="I112" s="7" t="s">
        <v>16</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7"/>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row>
    <row r="113">
      <c r="A113" s="1"/>
      <c r="B113" s="2"/>
      <c r="C113" s="2"/>
      <c r="D113" s="7" t="s">
        <v>260</v>
      </c>
      <c r="E113" s="2"/>
      <c r="F113" s="2"/>
      <c r="G113" s="2">
        <f>411.4-388.6</f>
        <v>22.8</v>
      </c>
      <c r="H113" s="2">
        <f>537.8-535</f>
        <v>2.8</v>
      </c>
      <c r="I113" s="2">
        <f>570.2*2</f>
        <v>1140.4</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7"/>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row>
    <row r="114">
      <c r="A114" s="1"/>
      <c r="B114" s="2"/>
      <c r="C114" s="2"/>
      <c r="D114" s="7" t="s">
        <v>261</v>
      </c>
      <c r="E114" s="2"/>
      <c r="F114" s="2"/>
      <c r="G114" s="2">
        <f>G113*H113*I113/1000000</f>
        <v>0.072803136</v>
      </c>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7"/>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row>
    <row r="115">
      <c r="A115" s="1"/>
      <c r="B115" s="2"/>
      <c r="C115" s="2"/>
      <c r="D115" s="7">
        <v>6.0</v>
      </c>
      <c r="E115" s="7">
        <v>6.0</v>
      </c>
      <c r="F115" s="2">
        <f t="shared" ref="F115:F120" si="69">E115*D115</f>
        <v>36</v>
      </c>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7"/>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row>
    <row r="116">
      <c r="A116" s="1"/>
      <c r="B116" s="2"/>
      <c r="C116" s="2"/>
      <c r="D116" s="7">
        <v>6.0</v>
      </c>
      <c r="E116" s="7">
        <v>6.0</v>
      </c>
      <c r="F116" s="2">
        <f t="shared" si="69"/>
        <v>36</v>
      </c>
      <c r="G116" s="2"/>
      <c r="H116" s="2"/>
      <c r="I116" s="2"/>
      <c r="J116" s="2"/>
      <c r="K116" s="2"/>
      <c r="L116" s="7" t="s">
        <v>262</v>
      </c>
      <c r="M116" s="7">
        <v>22.1</v>
      </c>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row>
    <row r="117">
      <c r="A117" s="1"/>
      <c r="B117" s="2"/>
      <c r="C117" s="2"/>
      <c r="D117" s="7">
        <v>6.0</v>
      </c>
      <c r="E117" s="7">
        <v>6.0</v>
      </c>
      <c r="F117" s="2">
        <f t="shared" si="69"/>
        <v>36</v>
      </c>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row>
    <row r="118">
      <c r="A118" s="1"/>
      <c r="B118" s="2"/>
      <c r="C118" s="2"/>
      <c r="D118" s="7">
        <v>6.0</v>
      </c>
      <c r="E118" s="7">
        <v>6.0</v>
      </c>
      <c r="F118" s="2">
        <f t="shared" si="69"/>
        <v>36</v>
      </c>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row>
    <row r="119">
      <c r="A119" s="1"/>
      <c r="B119" s="2"/>
      <c r="C119" s="2"/>
      <c r="D119" s="7">
        <v>6.0</v>
      </c>
      <c r="E119" s="7">
        <v>6.0</v>
      </c>
      <c r="F119" s="2">
        <f t="shared" si="69"/>
        <v>36</v>
      </c>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row>
    <row r="120">
      <c r="A120" s="1"/>
      <c r="B120" s="2"/>
      <c r="C120" s="2"/>
      <c r="D120" s="7">
        <v>6.0</v>
      </c>
      <c r="E120" s="7">
        <v>6.0</v>
      </c>
      <c r="F120" s="2">
        <f t="shared" si="69"/>
        <v>36</v>
      </c>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93"/>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row>
    <row r="121">
      <c r="A121" s="1"/>
      <c r="B121" s="2"/>
      <c r="C121" s="2"/>
      <c r="D121" s="2"/>
      <c r="E121" s="2"/>
      <c r="F121" s="2">
        <f>SUM(F115:F120)</f>
        <v>216</v>
      </c>
      <c r="G121" s="2">
        <f>G114*F121</f>
        <v>15.72547738</v>
      </c>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7"/>
      <c r="AN121" s="7"/>
      <c r="AO121" s="7"/>
      <c r="AP121" s="2"/>
      <c r="AQ121" s="2"/>
      <c r="AR121" s="2"/>
      <c r="AS121" s="2"/>
      <c r="AT121" s="2"/>
      <c r="AU121" s="2"/>
      <c r="AV121" s="2"/>
      <c r="AW121" s="2"/>
      <c r="AX121" s="2"/>
      <c r="AY121" s="2"/>
      <c r="AZ121" s="2"/>
      <c r="BA121" s="2"/>
      <c r="BB121" s="2"/>
      <c r="BC121" s="2"/>
      <c r="BD121" s="2"/>
      <c r="BE121" s="2"/>
      <c r="BF121" s="2"/>
      <c r="BG121" s="2"/>
      <c r="BH121" s="2"/>
      <c r="BI121" s="2"/>
      <c r="BJ121" s="2"/>
      <c r="BK121" s="2"/>
      <c r="BL121" s="2"/>
    </row>
    <row r="122">
      <c r="A122" s="1"/>
      <c r="B122" s="2"/>
      <c r="C122" s="2"/>
      <c r="D122" s="2"/>
      <c r="E122" s="2"/>
      <c r="F122" s="2"/>
      <c r="G122" s="7">
        <v>7820.0</v>
      </c>
      <c r="H122" s="2">
        <f>G121*G122</f>
        <v>122973.2331</v>
      </c>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7"/>
      <c r="AN122" s="7"/>
      <c r="AO122" s="7"/>
      <c r="AP122" s="2"/>
      <c r="AQ122" s="2"/>
      <c r="AR122" s="2"/>
      <c r="AS122" s="2"/>
      <c r="AT122" s="2"/>
      <c r="AU122" s="2"/>
      <c r="AV122" s="2"/>
      <c r="AW122" s="2"/>
      <c r="AX122" s="2"/>
      <c r="AY122" s="2"/>
      <c r="AZ122" s="2"/>
      <c r="BA122" s="2"/>
      <c r="BB122" s="2"/>
      <c r="BC122" s="2"/>
      <c r="BD122" s="2"/>
      <c r="BE122" s="2"/>
      <c r="BF122" s="2"/>
      <c r="BG122" s="2"/>
      <c r="BH122" s="2"/>
      <c r="BI122" s="2"/>
      <c r="BJ122" s="2"/>
      <c r="BK122" s="2"/>
      <c r="BL122" s="2"/>
    </row>
    <row r="123">
      <c r="A123" s="1"/>
      <c r="B123" s="2"/>
      <c r="C123" s="2"/>
      <c r="D123" s="7" t="s">
        <v>263</v>
      </c>
      <c r="E123" s="7" t="s">
        <v>264</v>
      </c>
      <c r="F123" s="7" t="s">
        <v>265</v>
      </c>
      <c r="G123" s="2"/>
      <c r="H123" s="2">
        <f>H122/1000</f>
        <v>122.9732331</v>
      </c>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row>
    <row r="124">
      <c r="A124" s="1"/>
      <c r="B124" s="2"/>
      <c r="C124" s="2"/>
      <c r="D124" s="7">
        <v>6.0</v>
      </c>
      <c r="E124" s="7">
        <v>6.0</v>
      </c>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row>
    <row r="125">
      <c r="A125" s="1"/>
      <c r="B125" s="2"/>
      <c r="C125" s="2"/>
      <c r="D125" s="7">
        <v>6.0</v>
      </c>
      <c r="E125" s="7">
        <v>6.0</v>
      </c>
      <c r="F125" s="2"/>
      <c r="G125" s="2"/>
      <c r="H125" s="2"/>
      <c r="I125" s="2"/>
      <c r="J125" s="2"/>
      <c r="K125" s="2"/>
      <c r="L125" s="2"/>
      <c r="M125" s="2"/>
      <c r="N125" s="2">
        <f>P125/O125</f>
        <v>1.828888889</v>
      </c>
      <c r="O125" s="7">
        <v>4500.0</v>
      </c>
      <c r="P125" s="2">
        <f>8230</f>
        <v>8230</v>
      </c>
      <c r="Q125" s="2"/>
      <c r="R125" s="2"/>
      <c r="S125" s="2"/>
      <c r="T125" s="2"/>
      <c r="U125" s="2"/>
      <c r="V125" s="2"/>
      <c r="W125" s="2"/>
      <c r="X125" s="2"/>
      <c r="Y125" s="2"/>
      <c r="Z125" s="2"/>
      <c r="AA125" s="161" t="s">
        <v>241</v>
      </c>
      <c r="AB125" s="147">
        <f>428.965*2</f>
        <v>857.93</v>
      </c>
      <c r="AC125" s="147">
        <f>428.965+509.075</f>
        <v>938.04</v>
      </c>
      <c r="AD125" s="147">
        <f>395.12*2</f>
        <v>790.24</v>
      </c>
      <c r="AE125" s="147">
        <f t="shared" ref="AE125:AE126" si="70">AB125*AD125*AC125</f>
        <v>635963544.6</v>
      </c>
      <c r="AF125" s="147">
        <f t="shared" ref="AF125:AF126" si="71">AE125/1000000</f>
        <v>635.9635446</v>
      </c>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row>
    <row r="126">
      <c r="A126" s="1"/>
      <c r="B126" s="2"/>
      <c r="C126" s="2"/>
      <c r="D126" s="7">
        <v>6.0</v>
      </c>
      <c r="E126" s="7">
        <v>6.0</v>
      </c>
      <c r="F126" s="2"/>
      <c r="G126" s="2"/>
      <c r="H126" s="2"/>
      <c r="I126" s="2"/>
      <c r="J126" s="2"/>
      <c r="K126" s="2"/>
      <c r="L126" s="2"/>
      <c r="M126" s="2"/>
      <c r="N126" s="2"/>
      <c r="O126" s="2"/>
      <c r="P126" s="2"/>
      <c r="Q126" s="2"/>
      <c r="R126" s="2"/>
      <c r="S126" s="2"/>
      <c r="T126" s="2"/>
      <c r="U126" s="2"/>
      <c r="V126" s="2"/>
      <c r="W126" s="2"/>
      <c r="X126" s="2"/>
      <c r="Y126" s="2"/>
      <c r="Z126" s="2"/>
      <c r="AA126" s="161" t="s">
        <v>242</v>
      </c>
      <c r="AB126" s="147">
        <f>428.845*2</f>
        <v>857.69</v>
      </c>
      <c r="AC126" s="147">
        <f>428.875+428.845</f>
        <v>857.72</v>
      </c>
      <c r="AD126" s="147">
        <f>395*2</f>
        <v>790</v>
      </c>
      <c r="AE126" s="147">
        <f t="shared" si="70"/>
        <v>581169714.8</v>
      </c>
      <c r="AF126" s="147">
        <f t="shared" si="71"/>
        <v>581.1697148</v>
      </c>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row>
    <row r="127">
      <c r="A127" s="1"/>
      <c r="B127" s="2"/>
      <c r="C127" s="2"/>
      <c r="D127" s="7">
        <v>6.0</v>
      </c>
      <c r="E127" s="7">
        <v>6.0</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row>
    <row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row>
    <row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6"/>
      <c r="AB129" s="6"/>
      <c r="AC129" s="6"/>
      <c r="AD129" s="7"/>
      <c r="AE129" s="7"/>
      <c r="AF129" s="7"/>
      <c r="AG129" s="7"/>
      <c r="AH129" s="7"/>
      <c r="AI129" s="7"/>
      <c r="AJ129" s="7"/>
      <c r="AK129" s="7"/>
      <c r="AL129" s="7"/>
      <c r="AM129" s="7"/>
      <c r="AN129" s="7"/>
      <c r="AO129" s="7"/>
      <c r="AP129" s="7"/>
      <c r="AQ129" s="7"/>
      <c r="AR129" s="7"/>
      <c r="AS129" s="7"/>
      <c r="AT129" s="2"/>
      <c r="AU129" s="2"/>
      <c r="AV129" s="2"/>
      <c r="AW129" s="2"/>
      <c r="AX129" s="2"/>
      <c r="AY129" s="2"/>
      <c r="AZ129" s="2"/>
      <c r="BA129" s="2"/>
      <c r="BB129" s="2"/>
      <c r="BC129" s="2"/>
      <c r="BD129" s="2"/>
      <c r="BE129" s="2"/>
      <c r="BF129" s="2"/>
      <c r="BG129" s="2"/>
      <c r="BH129" s="2"/>
      <c r="BI129" s="2"/>
      <c r="BJ129" s="2"/>
      <c r="BK129" s="2"/>
      <c r="BL129" s="2"/>
    </row>
    <row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row>
    <row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row>
    <row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row>
    <row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7"/>
      <c r="AH133" s="7"/>
      <c r="AI133" s="2"/>
      <c r="AJ133" s="2"/>
      <c r="AK133" s="2"/>
      <c r="AL133" s="2"/>
      <c r="AM133" s="7"/>
      <c r="AN133" s="7"/>
      <c r="AO133" s="7"/>
      <c r="AP133" s="2"/>
      <c r="AQ133" s="2"/>
      <c r="AR133" s="2"/>
      <c r="AS133" s="2"/>
      <c r="AT133" s="2"/>
      <c r="AU133" s="2"/>
      <c r="AV133" s="2"/>
      <c r="AW133" s="2"/>
      <c r="AX133" s="2"/>
      <c r="AY133" s="2"/>
      <c r="AZ133" s="2"/>
      <c r="BA133" s="2"/>
      <c r="BB133" s="2"/>
      <c r="BC133" s="2"/>
      <c r="BD133" s="2"/>
      <c r="BE133" s="2"/>
      <c r="BF133" s="2"/>
      <c r="BG133" s="2"/>
      <c r="BH133" s="2"/>
      <c r="BI133" s="2"/>
      <c r="BJ133" s="2"/>
      <c r="BK133" s="2"/>
      <c r="BL133" s="2"/>
    </row>
    <row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7"/>
      <c r="AB134" s="7"/>
      <c r="AC134" s="7"/>
      <c r="AD134" s="2"/>
      <c r="AE134" s="2"/>
      <c r="AF134" s="2"/>
      <c r="AG134" s="7"/>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row>
    <row r="135">
      <c r="A135" s="1"/>
      <c r="B135" s="2"/>
      <c r="C135" s="7" t="s">
        <v>266</v>
      </c>
      <c r="D135" s="2">
        <f>570.2*2</f>
        <v>1140.4</v>
      </c>
      <c r="E135" s="2">
        <f>400.99-399.1</f>
        <v>1.89</v>
      </c>
      <c r="F135" s="2">
        <f>567.4-511.2</f>
        <v>56.2</v>
      </c>
      <c r="G135" s="2">
        <f>(D135*E135*F135)/1000000</f>
        <v>0.1211310072</v>
      </c>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row>
    <row r="136">
      <c r="A136" s="1"/>
      <c r="B136" s="2"/>
      <c r="C136" s="7" t="s">
        <v>267</v>
      </c>
      <c r="D136" s="2"/>
      <c r="E136" s="2"/>
      <c r="F136" s="2"/>
      <c r="G136" s="2">
        <f>G122*G135</f>
        <v>947.2444763</v>
      </c>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row>
    <row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7"/>
      <c r="AN137" s="7"/>
      <c r="AO137" s="7"/>
      <c r="AP137" s="2"/>
      <c r="AQ137" s="2"/>
      <c r="AR137" s="2"/>
      <c r="AS137" s="2"/>
      <c r="AT137" s="2"/>
      <c r="AU137" s="2"/>
      <c r="AV137" s="2"/>
      <c r="AW137" s="2"/>
      <c r="AX137" s="2"/>
      <c r="AY137" s="2"/>
      <c r="AZ137" s="2"/>
      <c r="BA137" s="2"/>
      <c r="BB137" s="2"/>
      <c r="BC137" s="2"/>
      <c r="BD137" s="2"/>
      <c r="BE137" s="2"/>
      <c r="BF137" s="2"/>
      <c r="BG137" s="2"/>
      <c r="BH137" s="2"/>
      <c r="BI137" s="2"/>
      <c r="BJ137" s="2"/>
      <c r="BK137" s="2"/>
      <c r="BL137" s="2"/>
    </row>
    <row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row>
    <row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7"/>
      <c r="AB139" s="6"/>
      <c r="AC139" s="6"/>
      <c r="AD139" s="6"/>
      <c r="AE139" s="7"/>
      <c r="AF139" s="7"/>
      <c r="AG139" s="7"/>
      <c r="AH139" s="7"/>
      <c r="AI139" s="7"/>
      <c r="AJ139" s="7"/>
      <c r="AK139" s="7"/>
      <c r="AL139" s="7"/>
      <c r="AM139" s="7"/>
      <c r="AN139" s="7"/>
      <c r="AO139" s="7"/>
      <c r="AP139" s="7"/>
      <c r="AQ139" s="7"/>
      <c r="AR139" s="7"/>
      <c r="AS139" s="2"/>
      <c r="AT139" s="2"/>
      <c r="AU139" s="2"/>
      <c r="AV139" s="2"/>
      <c r="AW139" s="2"/>
      <c r="AX139" s="2"/>
      <c r="AY139" s="2"/>
      <c r="AZ139" s="2"/>
      <c r="BA139" s="2"/>
      <c r="BB139" s="2"/>
      <c r="BC139" s="2"/>
      <c r="BD139" s="2"/>
      <c r="BE139" s="2"/>
      <c r="BF139" s="2"/>
      <c r="BG139" s="2"/>
      <c r="BH139" s="2"/>
      <c r="BI139" s="2"/>
      <c r="BJ139" s="2"/>
      <c r="BK139" s="2"/>
      <c r="BL139" s="2"/>
    </row>
    <row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7"/>
      <c r="AB140" s="7"/>
      <c r="AC140" s="7"/>
      <c r="AD140" s="7"/>
      <c r="AE140" s="7"/>
      <c r="AF140" s="7"/>
      <c r="AG140" s="7"/>
      <c r="AH140" s="7"/>
      <c r="AI140" s="7"/>
      <c r="AJ140" s="7"/>
      <c r="AK140" s="7"/>
      <c r="AL140" s="7"/>
      <c r="AM140" s="7"/>
      <c r="AN140" s="7"/>
      <c r="AO140" s="7"/>
      <c r="AP140" s="7"/>
      <c r="AQ140" s="7"/>
      <c r="AR140" s="7"/>
      <c r="AS140" s="2"/>
      <c r="AT140" s="2"/>
      <c r="AU140" s="2"/>
      <c r="AV140" s="2"/>
      <c r="AW140" s="2"/>
      <c r="AX140" s="2"/>
      <c r="AY140" s="2"/>
      <c r="AZ140" s="2"/>
      <c r="BA140" s="2"/>
      <c r="BB140" s="2"/>
      <c r="BC140" s="2"/>
      <c r="BD140" s="2"/>
      <c r="BE140" s="2"/>
      <c r="BF140" s="2"/>
      <c r="BG140" s="2"/>
      <c r="BH140" s="2"/>
      <c r="BI140" s="2"/>
      <c r="BJ140" s="2"/>
      <c r="BK140" s="2"/>
      <c r="BL140" s="2"/>
    </row>
    <row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row>
    <row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row>
    <row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row>
    <row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row>
    <row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row>
    <row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row>
    <row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row>
    <row r="148">
      <c r="A148" s="1"/>
      <c r="B148" s="2"/>
      <c r="C148" s="2"/>
      <c r="D148" s="2"/>
      <c r="E148" s="2"/>
      <c r="F148" s="2"/>
      <c r="G148" s="2"/>
      <c r="H148" s="2"/>
      <c r="I148" s="2"/>
      <c r="J148" s="2"/>
      <c r="K148" s="7" t="s">
        <v>268</v>
      </c>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row>
    <row r="149">
      <c r="A149" s="1"/>
      <c r="B149" s="2"/>
      <c r="C149" s="2"/>
      <c r="D149" s="2"/>
      <c r="E149" s="2"/>
      <c r="F149" s="2"/>
      <c r="G149" s="2"/>
      <c r="H149" s="2"/>
      <c r="I149" s="2"/>
      <c r="J149" s="2"/>
      <c r="K149" s="6" t="s">
        <v>269</v>
      </c>
      <c r="L149" s="6"/>
      <c r="M149" s="7" t="s">
        <v>14</v>
      </c>
      <c r="N149" s="7" t="s">
        <v>15</v>
      </c>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row>
    <row r="150">
      <c r="A150" s="1"/>
      <c r="B150" s="2"/>
      <c r="C150" s="2"/>
      <c r="D150" s="2"/>
      <c r="E150" s="2"/>
      <c r="F150" s="2"/>
      <c r="G150" s="2"/>
      <c r="H150" s="2"/>
      <c r="I150" s="2"/>
      <c r="J150" s="2"/>
      <c r="K150" s="2"/>
      <c r="L150" s="2"/>
      <c r="M150" s="7">
        <f t="shared" ref="M150:N150" si="72">11410</f>
        <v>11410</v>
      </c>
      <c r="N150" s="7">
        <f t="shared" si="72"/>
        <v>11410</v>
      </c>
      <c r="O150" s="294">
        <v>10760.0</v>
      </c>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row>
    <row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row>
    <row r="152">
      <c r="A152" s="1"/>
      <c r="B152" s="2"/>
      <c r="C152" s="2"/>
      <c r="D152" s="2"/>
      <c r="E152" s="2"/>
      <c r="F152" s="2"/>
      <c r="G152" s="2"/>
      <c r="H152" s="2"/>
      <c r="I152" s="2"/>
      <c r="J152" s="2"/>
      <c r="K152" s="2"/>
      <c r="L152" s="2"/>
      <c r="M152" s="2">
        <f t="shared" ref="M152:O152" si="73">M150/1000</f>
        <v>11.41</v>
      </c>
      <c r="N152" s="2">
        <f t="shared" si="73"/>
        <v>11.41</v>
      </c>
      <c r="O152" s="2">
        <f t="shared" si="73"/>
        <v>10.76</v>
      </c>
      <c r="P152" s="2"/>
      <c r="Q152" s="2"/>
      <c r="R152" s="6" t="s">
        <v>270</v>
      </c>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row>
    <row r="153">
      <c r="A153" s="1"/>
      <c r="B153" s="2"/>
      <c r="C153" s="2"/>
      <c r="D153" s="2"/>
      <c r="E153" s="2"/>
      <c r="F153" s="2"/>
      <c r="G153" s="2"/>
      <c r="H153" s="2"/>
      <c r="I153" s="2"/>
      <c r="J153" s="2"/>
      <c r="K153" s="2"/>
      <c r="L153" s="2"/>
      <c r="M153" s="2"/>
      <c r="N153" s="2"/>
      <c r="O153" s="2"/>
      <c r="P153" s="2">
        <f>M152*N152*O152</f>
        <v>1400.823956</v>
      </c>
      <c r="Q153" s="2"/>
      <c r="R153" s="6" t="s">
        <v>271</v>
      </c>
      <c r="S153" s="2">
        <f>P153-P158</f>
        <v>422.495868</v>
      </c>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row>
    <row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row>
    <row r="155">
      <c r="A155" s="1"/>
      <c r="B155" s="2"/>
      <c r="C155" s="2"/>
      <c r="D155" s="2"/>
      <c r="E155" s="2"/>
      <c r="F155" s="2"/>
      <c r="G155" s="2"/>
      <c r="H155" s="2"/>
      <c r="I155" s="2"/>
      <c r="J155" s="2"/>
      <c r="K155" s="6" t="s">
        <v>272</v>
      </c>
      <c r="L155" s="6"/>
      <c r="M155" s="2">
        <f t="shared" ref="M155:N155" si="74">10148</f>
        <v>10148</v>
      </c>
      <c r="N155" s="295">
        <f t="shared" si="74"/>
        <v>10148</v>
      </c>
      <c r="O155" s="2">
        <f>9500</f>
        <v>9500</v>
      </c>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row>
    <row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row>
    <row r="157">
      <c r="A157" s="1"/>
      <c r="B157" s="2"/>
      <c r="C157" s="2"/>
      <c r="D157" s="2"/>
      <c r="E157" s="2"/>
      <c r="F157" s="2"/>
      <c r="G157" s="2"/>
      <c r="H157" s="2"/>
      <c r="I157" s="2"/>
      <c r="J157" s="2"/>
      <c r="K157" s="2"/>
      <c r="L157" s="2"/>
      <c r="M157" s="2">
        <f t="shared" ref="M157:O157" si="75">M155/1000</f>
        <v>10.148</v>
      </c>
      <c r="N157" s="2">
        <f t="shared" si="75"/>
        <v>10.148</v>
      </c>
      <c r="O157" s="2">
        <f t="shared" si="75"/>
        <v>9.5</v>
      </c>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row>
    <row r="158">
      <c r="A158" s="1"/>
      <c r="B158" s="2"/>
      <c r="C158" s="2"/>
      <c r="D158" s="2"/>
      <c r="E158" s="2"/>
      <c r="F158" s="2"/>
      <c r="G158" s="2"/>
      <c r="H158" s="2"/>
      <c r="I158" s="2"/>
      <c r="J158" s="2"/>
      <c r="K158" s="2"/>
      <c r="L158" s="2"/>
      <c r="M158" s="2"/>
      <c r="N158" s="2"/>
      <c r="O158" s="2"/>
      <c r="P158" s="2">
        <f>M157*N157*O157</f>
        <v>978.328088</v>
      </c>
      <c r="Q158" s="2"/>
      <c r="R158" s="7" t="s">
        <v>273</v>
      </c>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row>
    <row r="159">
      <c r="A159" s="1"/>
      <c r="B159" s="2"/>
      <c r="C159" s="2"/>
      <c r="D159" s="2"/>
      <c r="E159" s="2"/>
      <c r="F159" s="2"/>
      <c r="G159" s="2"/>
      <c r="H159" s="2"/>
      <c r="I159" s="2"/>
      <c r="J159" s="2"/>
      <c r="K159" s="2"/>
      <c r="L159" s="2"/>
      <c r="M159" s="2"/>
      <c r="N159" s="2"/>
      <c r="O159" s="2"/>
      <c r="P159" s="2"/>
      <c r="Q159" s="2"/>
      <c r="R159" s="7" t="s">
        <v>274</v>
      </c>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row>
    <row r="160">
      <c r="A160" s="1"/>
      <c r="B160" s="2"/>
      <c r="C160" s="2"/>
      <c r="D160" s="2"/>
      <c r="E160" s="2"/>
      <c r="F160" s="2"/>
      <c r="G160" s="2"/>
      <c r="H160" s="2"/>
      <c r="I160" s="2"/>
      <c r="J160" s="2"/>
      <c r="K160" s="2"/>
      <c r="L160" s="2"/>
      <c r="M160" s="2"/>
      <c r="N160" s="2"/>
      <c r="O160" s="2"/>
      <c r="P160" s="2"/>
      <c r="Q160" s="2"/>
      <c r="R160" s="2"/>
      <c r="S160" s="2">
        <f>P158-P166</f>
        <v>401.0884864</v>
      </c>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row>
    <row r="161">
      <c r="A161" s="1"/>
      <c r="B161" s="2"/>
      <c r="C161" s="2"/>
      <c r="D161" s="2"/>
      <c r="E161" s="2"/>
      <c r="F161" s="2"/>
      <c r="G161" s="2"/>
      <c r="H161" s="2"/>
      <c r="I161" s="2"/>
      <c r="J161" s="7"/>
      <c r="K161" s="7"/>
      <c r="L161" s="7"/>
      <c r="M161" s="7"/>
      <c r="N161" s="7"/>
      <c r="O161" s="7"/>
      <c r="P161" s="7"/>
      <c r="Q161" s="7"/>
      <c r="R161" s="7"/>
      <c r="S161" s="7"/>
      <c r="T161" s="7"/>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row>
    <row r="162">
      <c r="A162" s="1"/>
      <c r="B162" s="2"/>
      <c r="C162" s="2"/>
      <c r="D162" s="2"/>
      <c r="E162" s="2"/>
      <c r="F162" s="2"/>
      <c r="G162" s="2"/>
      <c r="H162" s="2"/>
      <c r="I162" s="2"/>
      <c r="J162" s="7"/>
      <c r="K162" s="7"/>
      <c r="L162" s="7"/>
      <c r="M162" s="7"/>
      <c r="N162" s="7"/>
      <c r="O162" s="7"/>
      <c r="P162" s="137"/>
      <c r="Q162" s="137"/>
      <c r="R162" s="137"/>
      <c r="S162" s="137">
        <f>S153+S160</f>
        <v>823.5843544</v>
      </c>
      <c r="T162" s="137"/>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row>
    <row r="163">
      <c r="A163" s="1"/>
      <c r="B163" s="2"/>
      <c r="C163" s="2"/>
      <c r="D163" s="2"/>
      <c r="E163" s="2"/>
      <c r="F163" s="2"/>
      <c r="G163" s="2"/>
      <c r="H163" s="2"/>
      <c r="I163" s="2"/>
      <c r="J163" s="7"/>
      <c r="K163" s="6" t="s">
        <v>275</v>
      </c>
      <c r="L163" s="6"/>
      <c r="M163" s="7"/>
      <c r="N163" s="7"/>
      <c r="O163" s="7"/>
      <c r="P163" s="7"/>
      <c r="Q163" s="7"/>
      <c r="R163" s="7"/>
      <c r="S163" s="7"/>
      <c r="T163" s="7"/>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row>
    <row r="164">
      <c r="A164" s="1"/>
      <c r="B164" s="2"/>
      <c r="C164" s="2"/>
      <c r="D164" s="2"/>
      <c r="E164" s="2"/>
      <c r="F164" s="2"/>
      <c r="G164" s="2"/>
      <c r="H164" s="2"/>
      <c r="I164" s="2"/>
      <c r="J164" s="7"/>
      <c r="K164" s="7"/>
      <c r="L164" s="7"/>
      <c r="M164" s="7">
        <v>8548.0</v>
      </c>
      <c r="N164" s="7">
        <v>8548.0</v>
      </c>
      <c r="O164" s="7">
        <v>7900.0</v>
      </c>
      <c r="P164" s="7"/>
      <c r="Q164" s="7"/>
      <c r="R164" s="7" t="s">
        <v>276</v>
      </c>
      <c r="S164" s="7"/>
      <c r="T164" s="7"/>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row>
    <row r="165">
      <c r="A165" s="1"/>
      <c r="B165" s="2"/>
      <c r="C165" s="2"/>
      <c r="D165" s="2"/>
      <c r="E165" s="2"/>
      <c r="F165" s="2"/>
      <c r="G165" s="2"/>
      <c r="H165" s="2"/>
      <c r="I165" s="2"/>
      <c r="J165" s="2"/>
      <c r="K165" s="2"/>
      <c r="L165" s="2"/>
      <c r="M165" s="2">
        <f t="shared" ref="M165:O165" si="76">M164/10</f>
        <v>854.8</v>
      </c>
      <c r="N165" s="2">
        <f t="shared" si="76"/>
        <v>854.8</v>
      </c>
      <c r="O165" s="2">
        <f t="shared" si="76"/>
        <v>790</v>
      </c>
      <c r="P165" s="2"/>
      <c r="Q165" s="2"/>
      <c r="R165" s="2"/>
      <c r="S165" s="2">
        <f>P158-S160</f>
        <v>577.2396016</v>
      </c>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row>
    <row r="166">
      <c r="A166" s="1"/>
      <c r="B166" s="2"/>
      <c r="C166" s="2"/>
      <c r="D166" s="2"/>
      <c r="E166" s="2"/>
      <c r="F166" s="2"/>
      <c r="G166" s="2"/>
      <c r="H166" s="2"/>
      <c r="I166" s="2"/>
      <c r="J166" s="7"/>
      <c r="K166" s="7"/>
      <c r="L166" s="7"/>
      <c r="M166" s="7">
        <f t="shared" ref="M166:O166" si="77">M165/100</f>
        <v>8.548</v>
      </c>
      <c r="N166" s="7">
        <f t="shared" si="77"/>
        <v>8.548</v>
      </c>
      <c r="O166" s="7">
        <f t="shared" si="77"/>
        <v>7.9</v>
      </c>
      <c r="P166" s="296">
        <f>M166*N166*O166</f>
        <v>577.2396016</v>
      </c>
      <c r="Q166" s="7"/>
      <c r="R166" s="7"/>
      <c r="S166" s="7"/>
      <c r="T166" s="7"/>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row>
    <row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row>
    <row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row>
    <row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row>
    <row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row>
    <row r="171">
      <c r="A171" s="1"/>
      <c r="B171" s="2"/>
      <c r="C171" s="2"/>
      <c r="D171" s="2"/>
      <c r="E171" s="2"/>
      <c r="F171" s="2"/>
      <c r="G171" s="2"/>
      <c r="H171" s="2"/>
      <c r="I171" s="2"/>
      <c r="J171" s="2"/>
      <c r="K171" s="2"/>
      <c r="L171" s="2"/>
      <c r="M171" s="2"/>
      <c r="N171" s="2"/>
      <c r="O171" s="2"/>
      <c r="P171" s="2"/>
      <c r="Q171" s="2"/>
      <c r="R171" s="2"/>
      <c r="S171" s="2">
        <f>S165+S162</f>
        <v>1400.823956</v>
      </c>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row>
    <row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row>
    <row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row>
    <row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row>
    <row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row>
    <row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row>
    <row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row>
    <row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row>
    <row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7"/>
      <c r="AH179" s="7"/>
      <c r="AI179" s="7"/>
      <c r="AJ179" s="7"/>
      <c r="AK179" s="7"/>
      <c r="AL179" s="7"/>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row>
    <row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7"/>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row>
    <row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7"/>
      <c r="AJ181" s="7"/>
      <c r="AK181" s="7"/>
      <c r="AL181" s="7"/>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row>
    <row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7"/>
      <c r="AJ182" s="7"/>
      <c r="AK182" s="7"/>
      <c r="AL182" s="7"/>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row>
    <row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7"/>
      <c r="AJ183" s="7"/>
      <c r="AK183" s="7"/>
      <c r="AL183" s="7"/>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row>
    <row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7"/>
      <c r="AJ184" s="7"/>
      <c r="AK184" s="7"/>
      <c r="AL184" s="7"/>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row>
    <row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7"/>
      <c r="AJ185" s="7"/>
      <c r="AK185" s="7"/>
      <c r="AL185" s="7"/>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row>
    <row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7"/>
      <c r="AJ186" s="7"/>
      <c r="AK186" s="7"/>
      <c r="AL186" s="7"/>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row>
    <row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7"/>
      <c r="AJ187" s="7"/>
      <c r="AK187" s="7"/>
      <c r="AL187" s="7"/>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row>
    <row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7"/>
      <c r="AJ188" s="7"/>
      <c r="AK188" s="7"/>
      <c r="AL188" s="7"/>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row>
    <row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7"/>
      <c r="AJ189" s="7"/>
      <c r="AK189" s="7"/>
      <c r="AL189" s="7"/>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row>
    <row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7"/>
      <c r="AJ190" s="7"/>
      <c r="AK190" s="7"/>
      <c r="AL190" s="7"/>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row>
    <row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7"/>
      <c r="AJ191" s="7"/>
      <c r="AK191" s="7"/>
      <c r="AL191" s="7"/>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row>
    <row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row>
    <row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row>
    <row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7"/>
      <c r="AG194" s="7"/>
      <c r="AH194" s="7"/>
      <c r="AI194" s="7"/>
      <c r="AJ194" s="7"/>
      <c r="AK194" s="7"/>
      <c r="AL194" s="7"/>
      <c r="AO194" s="7"/>
      <c r="AP194" s="2"/>
      <c r="AQ194" s="2"/>
      <c r="AR194" s="2"/>
      <c r="AS194" s="2"/>
      <c r="AT194" s="2"/>
      <c r="AU194" s="2"/>
      <c r="AV194" s="2"/>
      <c r="AW194" s="2"/>
      <c r="AX194" s="2"/>
      <c r="AY194" s="2"/>
      <c r="AZ194" s="2"/>
      <c r="BA194" s="2"/>
      <c r="BB194" s="2"/>
      <c r="BC194" s="2"/>
      <c r="BD194" s="2"/>
      <c r="BE194" s="2"/>
      <c r="BF194" s="2"/>
      <c r="BG194" s="2"/>
      <c r="BH194" s="2"/>
      <c r="BI194" s="2"/>
      <c r="BJ194" s="2"/>
      <c r="BK194" s="2"/>
      <c r="BL194" s="2"/>
    </row>
    <row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7"/>
      <c r="AF195" s="7"/>
      <c r="AG195" s="7"/>
      <c r="AH195" s="7"/>
      <c r="AI195" s="7"/>
      <c r="AJ195" s="7"/>
      <c r="AK195" s="7"/>
      <c r="AL195" s="7"/>
      <c r="AM195" s="7"/>
      <c r="AN195" s="7"/>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row>
    <row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7"/>
      <c r="AF196" s="2"/>
      <c r="AG196" s="2"/>
      <c r="AH196" s="7"/>
      <c r="AI196" s="7"/>
      <c r="AJ196" s="7"/>
      <c r="AK196" s="7"/>
      <c r="AL196" s="7"/>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row>
    <row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7"/>
      <c r="AF197" s="7"/>
      <c r="AG197" s="7"/>
      <c r="AH197" s="7"/>
      <c r="AI197" s="7"/>
      <c r="AJ197" s="7"/>
      <c r="AK197" s="7"/>
      <c r="AL197" s="7"/>
      <c r="AM197" s="7"/>
      <c r="AN197" s="7"/>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row>
    <row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7"/>
      <c r="AP198" s="2"/>
      <c r="AQ198" s="2"/>
      <c r="AR198" s="2"/>
      <c r="AS198" s="2"/>
      <c r="AT198" s="2"/>
      <c r="AU198" s="2"/>
      <c r="AV198" s="2"/>
      <c r="AW198" s="2"/>
      <c r="AX198" s="2"/>
      <c r="AY198" s="2"/>
      <c r="AZ198" s="2"/>
      <c r="BA198" s="2"/>
      <c r="BB198" s="2"/>
      <c r="BC198" s="2"/>
      <c r="BD198" s="2"/>
      <c r="BE198" s="2"/>
      <c r="BF198" s="2"/>
      <c r="BG198" s="2"/>
      <c r="BH198" s="2"/>
      <c r="BI198" s="2"/>
      <c r="BJ198" s="2"/>
      <c r="BK198" s="2"/>
      <c r="BL198" s="2"/>
    </row>
    <row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F199" s="137"/>
      <c r="AG199" s="7"/>
      <c r="AH199" s="7"/>
      <c r="AI199" s="2"/>
      <c r="AJ199" s="2"/>
      <c r="AK199" s="2"/>
      <c r="AL199" s="2"/>
      <c r="AM199" s="7"/>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row>
    <row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7"/>
      <c r="AC200" s="7"/>
      <c r="AD200" s="7"/>
      <c r="AF200" s="32"/>
      <c r="AG200" s="2"/>
      <c r="AH200" s="2"/>
      <c r="AI200" s="2"/>
      <c r="AJ200" s="2"/>
      <c r="AK200" s="2"/>
      <c r="AL200" s="2"/>
      <c r="AM200" s="2"/>
      <c r="AN200" s="297"/>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row>
    <row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7"/>
      <c r="AC201" s="7"/>
      <c r="AD201" s="7"/>
      <c r="AF201" s="32"/>
      <c r="AG201" s="2"/>
      <c r="AH201" s="2"/>
      <c r="AI201" s="2"/>
      <c r="AJ201" s="2"/>
      <c r="AK201" s="2"/>
      <c r="AL201" s="2"/>
      <c r="AM201" s="2"/>
      <c r="AN201" s="297"/>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row>
    <row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7"/>
      <c r="AC202" s="7"/>
      <c r="AD202" s="127"/>
      <c r="AF202" s="32"/>
      <c r="AG202" s="2"/>
      <c r="AH202" s="2"/>
      <c r="AI202" s="2"/>
      <c r="AJ202" s="2"/>
      <c r="AK202" s="2"/>
      <c r="AL202" s="2"/>
      <c r="AM202" s="2"/>
      <c r="AN202" s="297"/>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row>
    <row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7"/>
      <c r="AC203" s="7"/>
      <c r="AD203" s="7"/>
      <c r="AF203" s="32"/>
      <c r="AG203" s="2"/>
      <c r="AH203" s="2"/>
      <c r="AI203" s="2"/>
      <c r="AJ203" s="2"/>
      <c r="AK203" s="2"/>
      <c r="AL203" s="2"/>
      <c r="AM203" s="2"/>
      <c r="AN203" s="297"/>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row>
    <row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7"/>
      <c r="AC204" s="7"/>
      <c r="AD204" s="7"/>
      <c r="AF204" s="32"/>
      <c r="AG204" s="2"/>
      <c r="AH204" s="2"/>
      <c r="AI204" s="2"/>
      <c r="AJ204" s="2"/>
      <c r="AK204" s="2"/>
      <c r="AL204" s="2"/>
      <c r="AM204" s="2"/>
      <c r="AN204" s="297"/>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row>
    <row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7"/>
      <c r="AC205" s="7"/>
      <c r="AD205" s="7"/>
      <c r="AF205" s="32"/>
      <c r="AG205" s="2"/>
      <c r="AH205" s="2"/>
      <c r="AI205" s="2"/>
      <c r="AJ205" s="2"/>
      <c r="AK205" s="2"/>
      <c r="AL205" s="2"/>
      <c r="AM205" s="2"/>
      <c r="AN205" s="297"/>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row>
    <row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7"/>
      <c r="AC206" s="7"/>
      <c r="AD206" s="7"/>
      <c r="AF206" s="32"/>
      <c r="AG206" s="2"/>
      <c r="AH206" s="2"/>
      <c r="AI206" s="2"/>
      <c r="AJ206" s="2"/>
      <c r="AK206" s="2"/>
      <c r="AL206" s="2"/>
      <c r="AM206" s="2"/>
      <c r="AN206" s="297"/>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row>
    <row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7"/>
      <c r="AC207" s="7"/>
      <c r="AD207" s="7"/>
      <c r="AF207" s="32"/>
      <c r="AG207" s="2"/>
      <c r="AH207" s="2"/>
      <c r="AI207" s="2"/>
      <c r="AJ207" s="2"/>
      <c r="AK207" s="2"/>
      <c r="AL207" s="2"/>
      <c r="AM207" s="2"/>
      <c r="AN207" s="297"/>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row>
    <row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7"/>
      <c r="AC208" s="7"/>
      <c r="AD208" s="7"/>
      <c r="AF208" s="32"/>
      <c r="AG208" s="2"/>
      <c r="AH208" s="2"/>
      <c r="AI208" s="2"/>
      <c r="AJ208" s="2"/>
      <c r="AK208" s="2"/>
      <c r="AL208" s="2"/>
      <c r="AM208" s="2"/>
      <c r="AN208" s="297"/>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row>
    <row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row>
    <row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7"/>
      <c r="AP210" s="2"/>
      <c r="AQ210" s="2"/>
      <c r="AR210" s="2"/>
      <c r="AS210" s="2"/>
      <c r="AT210" s="2"/>
      <c r="AU210" s="2"/>
      <c r="AV210" s="2"/>
      <c r="AW210" s="2"/>
      <c r="AX210" s="2"/>
      <c r="AY210" s="2"/>
      <c r="AZ210" s="2"/>
      <c r="BA210" s="2"/>
      <c r="BB210" s="2"/>
      <c r="BC210" s="2"/>
      <c r="BD210" s="2"/>
      <c r="BE210" s="2"/>
      <c r="BF210" s="2"/>
      <c r="BG210" s="2"/>
      <c r="BH210" s="2"/>
      <c r="BI210" s="2"/>
      <c r="BJ210" s="2"/>
      <c r="BK210" s="2"/>
      <c r="BL210" s="2"/>
    </row>
    <row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F211" s="7"/>
      <c r="AG211" s="7"/>
      <c r="AH211" s="7"/>
      <c r="AI211" s="2"/>
      <c r="AJ211" s="2"/>
      <c r="AK211" s="2"/>
      <c r="AL211" s="2"/>
      <c r="AM211" s="2"/>
      <c r="AN211" s="2"/>
      <c r="AO211" s="7"/>
      <c r="AP211" s="2"/>
      <c r="AQ211" s="2"/>
      <c r="AR211" s="2"/>
      <c r="AS211" s="2"/>
      <c r="AT211" s="2"/>
      <c r="AU211" s="2"/>
      <c r="AV211" s="2"/>
      <c r="AW211" s="2"/>
      <c r="AX211" s="2"/>
      <c r="AY211" s="2"/>
      <c r="AZ211" s="2"/>
      <c r="BA211" s="2"/>
      <c r="BB211" s="2"/>
      <c r="BC211" s="2"/>
      <c r="BD211" s="2"/>
      <c r="BE211" s="2"/>
      <c r="BF211" s="2"/>
      <c r="BG211" s="2"/>
      <c r="BH211" s="2"/>
      <c r="BI211" s="2"/>
      <c r="BJ211" s="2"/>
      <c r="BK211" s="2"/>
      <c r="BL211" s="2"/>
    </row>
    <row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F212" s="32"/>
      <c r="AG212" s="2"/>
      <c r="AH212" s="7"/>
      <c r="AI212" s="7"/>
      <c r="AJ212" s="7"/>
      <c r="AK212" s="7"/>
      <c r="AL212" s="7"/>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row>
    <row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F213" s="32"/>
      <c r="AG213" s="2"/>
      <c r="AH213" s="7"/>
      <c r="AI213" s="7"/>
      <c r="AJ213" s="7"/>
      <c r="AK213" s="7"/>
      <c r="AL213" s="7"/>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row>
    <row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F214" s="32"/>
      <c r="AG214" s="2"/>
      <c r="AH214" s="7"/>
      <c r="AI214" s="7"/>
      <c r="AJ214" s="7"/>
      <c r="AK214" s="7"/>
      <c r="AL214" s="7"/>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row>
    <row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F215" s="32"/>
      <c r="AG215" s="2"/>
      <c r="AH215" s="7"/>
      <c r="AI215" s="7"/>
      <c r="AJ215" s="7"/>
      <c r="AK215" s="7"/>
      <c r="AL215" s="7"/>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row>
    <row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F216" s="32"/>
      <c r="AG216" s="2"/>
      <c r="AH216" s="7"/>
      <c r="AI216" s="7"/>
      <c r="AJ216" s="7"/>
      <c r="AK216" s="7"/>
      <c r="AL216" s="7"/>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row>
    <row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F217" s="32"/>
      <c r="AG217" s="2"/>
      <c r="AH217" s="7"/>
      <c r="AI217" s="7"/>
      <c r="AJ217" s="7"/>
      <c r="AK217" s="7"/>
      <c r="AL217" s="7"/>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row>
    <row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F218" s="32"/>
      <c r="AG218" s="2"/>
      <c r="AH218" s="7"/>
      <c r="AI218" s="7"/>
      <c r="AJ218" s="7"/>
      <c r="AK218" s="7"/>
      <c r="AL218" s="7"/>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row>
    <row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F219" s="32"/>
      <c r="AG219" s="2"/>
      <c r="AH219" s="7"/>
      <c r="AI219" s="7"/>
      <c r="AJ219" s="7"/>
      <c r="AK219" s="7"/>
      <c r="AL219" s="7"/>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row>
    <row r="220">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F220" s="32"/>
      <c r="AG220" s="2"/>
      <c r="AH220" s="7"/>
      <c r="AI220" s="7"/>
      <c r="AJ220" s="7"/>
      <c r="AK220" s="7"/>
      <c r="AL220" s="7"/>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row>
    <row r="22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row>
    <row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7"/>
      <c r="AP222" s="2"/>
      <c r="AQ222" s="2"/>
      <c r="AR222" s="2"/>
      <c r="AS222" s="2"/>
      <c r="AT222" s="2"/>
      <c r="AU222" s="2"/>
      <c r="AV222" s="2"/>
      <c r="AW222" s="2"/>
      <c r="AX222" s="2"/>
      <c r="AY222" s="2"/>
      <c r="AZ222" s="2"/>
      <c r="BA222" s="2"/>
      <c r="BB222" s="2"/>
      <c r="BC222" s="2"/>
      <c r="BD222" s="2"/>
      <c r="BE222" s="2"/>
      <c r="BF222" s="2"/>
      <c r="BG222" s="2"/>
      <c r="BH222" s="2"/>
      <c r="BI222" s="2"/>
      <c r="BJ222" s="2"/>
      <c r="BK222" s="2"/>
      <c r="BL222" s="2"/>
    </row>
    <row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F223" s="7"/>
      <c r="AG223" s="7"/>
      <c r="AH223" s="7"/>
      <c r="AI223" s="2"/>
      <c r="AJ223" s="2"/>
      <c r="AK223" s="2"/>
      <c r="AL223" s="2"/>
      <c r="AM223" s="2"/>
      <c r="AN223" s="7"/>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row>
    <row r="224">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F224" s="7"/>
      <c r="AG224" s="7"/>
      <c r="AH224" s="7"/>
      <c r="AI224" s="290"/>
      <c r="AJ224" s="290"/>
      <c r="AK224" s="290"/>
      <c r="AL224" s="290"/>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row>
    <row r="2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F225" s="7"/>
      <c r="AG225" s="7"/>
      <c r="AH225" s="7"/>
      <c r="AI225" s="290"/>
      <c r="AJ225" s="290"/>
      <c r="AK225" s="290"/>
      <c r="AL225" s="290"/>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row>
    <row r="226">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90"/>
      <c r="AF226" s="2"/>
      <c r="AG226" s="2"/>
      <c r="AH226" s="290"/>
      <c r="AI226" s="290"/>
      <c r="AJ226" s="290"/>
      <c r="AK226" s="290"/>
      <c r="AL226" s="290"/>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row>
    <row r="227">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90"/>
      <c r="AF227" s="2"/>
      <c r="AG227" s="2"/>
      <c r="AH227" s="290"/>
      <c r="AI227" s="290"/>
      <c r="AJ227" s="290"/>
      <c r="AK227" s="290"/>
      <c r="AL227" s="290"/>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row>
    <row r="228">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90"/>
      <c r="AF228" s="2"/>
      <c r="AG228" s="2"/>
      <c r="AH228" s="290"/>
      <c r="AI228" s="290"/>
      <c r="AJ228" s="290"/>
      <c r="AK228" s="290"/>
      <c r="AL228" s="290"/>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row>
    <row r="229">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90"/>
      <c r="AF229" s="2"/>
      <c r="AG229" s="2"/>
      <c r="AH229" s="290"/>
      <c r="AI229" s="290"/>
      <c r="AJ229" s="290"/>
      <c r="AK229" s="290"/>
      <c r="AL229" s="290"/>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row>
    <row r="230">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90"/>
      <c r="AF230" s="2"/>
      <c r="AG230" s="2"/>
      <c r="AH230" s="290"/>
      <c r="AI230" s="290"/>
      <c r="AJ230" s="290"/>
      <c r="AK230" s="290"/>
      <c r="AL230" s="290"/>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row>
    <row r="23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90"/>
      <c r="AF231" s="2"/>
      <c r="AG231" s="2"/>
      <c r="AH231" s="290"/>
      <c r="AI231" s="290"/>
      <c r="AJ231" s="290"/>
      <c r="AK231" s="290"/>
      <c r="AL231" s="290"/>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row>
    <row r="232">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row>
    <row r="233">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U233" s="2"/>
      <c r="AV233" s="2"/>
      <c r="AW233" s="2"/>
      <c r="AX233" s="2"/>
      <c r="AY233" s="2"/>
      <c r="AZ233" s="2"/>
      <c r="BA233" s="2"/>
      <c r="BB233" s="2"/>
      <c r="BC233" s="2"/>
      <c r="BD233" s="2"/>
      <c r="BE233" s="2"/>
      <c r="BF233" s="2"/>
      <c r="BG233" s="2"/>
      <c r="BH233" s="2"/>
      <c r="BI233" s="2"/>
      <c r="BJ233" s="2"/>
      <c r="BK233" s="2"/>
      <c r="BL233" s="2"/>
    </row>
    <row r="234">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U234" s="2"/>
      <c r="AV234" s="2"/>
      <c r="AW234" s="2"/>
      <c r="AX234" s="2"/>
      <c r="AY234" s="2"/>
      <c r="AZ234" s="2"/>
      <c r="BA234" s="2"/>
      <c r="BB234" s="2"/>
      <c r="BC234" s="2"/>
      <c r="BD234" s="2"/>
      <c r="BE234" s="2"/>
      <c r="BF234" s="2"/>
      <c r="BG234" s="2"/>
      <c r="BH234" s="2"/>
      <c r="BI234" s="2"/>
      <c r="BJ234" s="2"/>
      <c r="BK234" s="2"/>
      <c r="BL234" s="2"/>
    </row>
    <row r="2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U235" s="2"/>
      <c r="AV235" s="2"/>
      <c r="AW235" s="2"/>
      <c r="AX235" s="2"/>
      <c r="AY235" s="2"/>
      <c r="AZ235" s="2"/>
      <c r="BA235" s="2"/>
      <c r="BB235" s="2"/>
      <c r="BC235" s="2"/>
      <c r="BD235" s="2"/>
      <c r="BE235" s="2"/>
      <c r="BF235" s="2"/>
      <c r="BG235" s="2"/>
      <c r="BH235" s="2"/>
      <c r="BI235" s="2"/>
      <c r="BJ235" s="2"/>
      <c r="BK235" s="2"/>
      <c r="BL235" s="2"/>
    </row>
    <row r="236">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U236" s="2"/>
      <c r="AV236" s="2"/>
      <c r="AW236" s="2"/>
      <c r="AX236" s="2"/>
      <c r="AY236" s="2"/>
      <c r="AZ236" s="2"/>
      <c r="BA236" s="2"/>
      <c r="BB236" s="2"/>
      <c r="BC236" s="2"/>
      <c r="BD236" s="2"/>
      <c r="BE236" s="2"/>
      <c r="BF236" s="2"/>
      <c r="BG236" s="2"/>
      <c r="BH236" s="2"/>
      <c r="BI236" s="2"/>
      <c r="BJ236" s="2"/>
      <c r="BK236" s="2"/>
      <c r="BL236" s="2"/>
    </row>
    <row r="237">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U237" s="2"/>
      <c r="AV237" s="2"/>
      <c r="AW237" s="2"/>
      <c r="AX237" s="2"/>
      <c r="AY237" s="2"/>
      <c r="AZ237" s="2"/>
      <c r="BA237" s="2"/>
      <c r="BB237" s="2"/>
      <c r="BC237" s="2"/>
      <c r="BD237" s="2"/>
      <c r="BE237" s="2"/>
      <c r="BF237" s="2"/>
      <c r="BG237" s="2"/>
      <c r="BH237" s="2"/>
      <c r="BI237" s="2"/>
      <c r="BJ237" s="2"/>
      <c r="BK237" s="2"/>
      <c r="BL237" s="2"/>
    </row>
    <row r="238">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U238" s="2"/>
      <c r="AV238" s="2"/>
      <c r="AW238" s="2"/>
      <c r="AX238" s="2"/>
      <c r="AY238" s="2"/>
      <c r="AZ238" s="2"/>
      <c r="BA238" s="2"/>
      <c r="BB238" s="2"/>
      <c r="BC238" s="2"/>
      <c r="BD238" s="2"/>
      <c r="BE238" s="2"/>
      <c r="BF238" s="2"/>
      <c r="BG238" s="2"/>
      <c r="BH238" s="2"/>
      <c r="BI238" s="2"/>
      <c r="BJ238" s="2"/>
      <c r="BK238" s="2"/>
      <c r="BL238" s="2"/>
    </row>
    <row r="239">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H239" s="44" t="s">
        <v>14</v>
      </c>
      <c r="AI239" s="44" t="s">
        <v>15</v>
      </c>
      <c r="AJ239" s="44"/>
      <c r="AK239" s="44" t="s">
        <v>16</v>
      </c>
      <c r="AU239" s="2"/>
      <c r="AV239" s="2"/>
      <c r="AW239" s="2"/>
      <c r="AX239" s="2"/>
      <c r="AY239" s="2"/>
      <c r="AZ239" s="2"/>
      <c r="BA239" s="2"/>
      <c r="BB239" s="2"/>
      <c r="BC239" s="2"/>
      <c r="BD239" s="2"/>
      <c r="BE239" s="2"/>
      <c r="BF239" s="2"/>
      <c r="BG239" s="2"/>
      <c r="BH239" s="2"/>
      <c r="BI239" s="2"/>
      <c r="BJ239" s="2"/>
      <c r="BK239" s="2"/>
      <c r="BL239" s="2"/>
    </row>
    <row r="240">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H240" s="2">
        <v>10.148</v>
      </c>
      <c r="AI240" s="2">
        <v>10.148</v>
      </c>
      <c r="AJ240" s="2"/>
      <c r="AK240" s="290">
        <v>9.5</v>
      </c>
      <c r="AL240" s="147">
        <f t="shared" ref="AL240:AL248" si="78">AK240*AI240*AH240</f>
        <v>978.328088</v>
      </c>
      <c r="AU240" s="2"/>
      <c r="AV240" s="2"/>
      <c r="AW240" s="2"/>
      <c r="AX240" s="2"/>
      <c r="AY240" s="2"/>
      <c r="AZ240" s="2"/>
      <c r="BA240" s="2"/>
      <c r="BB240" s="2"/>
      <c r="BC240" s="2"/>
      <c r="BD240" s="2"/>
      <c r="BE240" s="2"/>
      <c r="BF240" s="2"/>
      <c r="BG240" s="2"/>
      <c r="BH240" s="2"/>
      <c r="BI240" s="2"/>
      <c r="BJ240" s="2"/>
      <c r="BK240" s="2"/>
      <c r="BL240" s="2"/>
    </row>
    <row r="24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H241" s="2">
        <v>10.129999999999999</v>
      </c>
      <c r="AI241" s="2">
        <v>10.129999999999999</v>
      </c>
      <c r="AJ241" s="2"/>
      <c r="AK241" s="290">
        <v>9.482</v>
      </c>
      <c r="AL241" s="147">
        <f t="shared" si="78"/>
        <v>973.0134458</v>
      </c>
      <c r="AU241" s="2"/>
      <c r="AV241" s="2"/>
      <c r="AW241" s="2"/>
      <c r="AX241" s="2"/>
      <c r="AY241" s="2"/>
      <c r="AZ241" s="2"/>
      <c r="BA241" s="2"/>
      <c r="BB241" s="2"/>
      <c r="BC241" s="2"/>
      <c r="BD241" s="2"/>
      <c r="BE241" s="2"/>
      <c r="BF241" s="2"/>
      <c r="BG241" s="2"/>
      <c r="BH241" s="2"/>
      <c r="BI241" s="2"/>
      <c r="BJ241" s="2"/>
      <c r="BK241" s="2"/>
      <c r="BL241" s="2"/>
    </row>
    <row r="242">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H242" s="2">
        <v>9.547999999999998</v>
      </c>
      <c r="AI242" s="2">
        <v>9.547999999999998</v>
      </c>
      <c r="AJ242" s="2"/>
      <c r="AK242" s="290">
        <v>8.899999999999999</v>
      </c>
      <c r="AL242" s="147">
        <f t="shared" si="78"/>
        <v>811.3623056</v>
      </c>
      <c r="AU242" s="2"/>
      <c r="AV242" s="2"/>
      <c r="AW242" s="2"/>
      <c r="AX242" s="2"/>
      <c r="AY242" s="2"/>
      <c r="AZ242" s="2"/>
      <c r="BA242" s="2"/>
      <c r="BB242" s="2"/>
      <c r="BC242" s="2"/>
      <c r="BD242" s="2"/>
      <c r="BE242" s="2"/>
      <c r="BF242" s="2"/>
      <c r="BG242" s="2"/>
      <c r="BH242" s="2"/>
      <c r="BI242" s="2"/>
      <c r="BJ242" s="2"/>
      <c r="BK242" s="2"/>
      <c r="BL242" s="2"/>
    </row>
    <row r="243">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H243" s="2">
        <v>9.546799999999998</v>
      </c>
      <c r="AI243" s="2">
        <v>9.546799999999998</v>
      </c>
      <c r="AJ243" s="2"/>
      <c r="AK243" s="290">
        <v>8.898799999999998</v>
      </c>
      <c r="AL243" s="147">
        <f t="shared" si="78"/>
        <v>811.0490035</v>
      </c>
      <c r="AU243" s="2"/>
      <c r="AV243" s="2"/>
      <c r="AW243" s="2"/>
      <c r="AX243" s="2"/>
      <c r="AY243" s="2"/>
      <c r="AZ243" s="2"/>
      <c r="BA243" s="2"/>
      <c r="BB243" s="2"/>
      <c r="BC243" s="2"/>
      <c r="BD243" s="2"/>
      <c r="BE243" s="2"/>
      <c r="BF243" s="2"/>
      <c r="BG243" s="2"/>
      <c r="BH243" s="2"/>
      <c r="BI243" s="2"/>
      <c r="BJ243" s="2"/>
      <c r="BK243" s="2"/>
      <c r="BL243" s="2"/>
    </row>
    <row r="244">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H244" s="2">
        <v>9.370799999999997</v>
      </c>
      <c r="AI244" s="2">
        <v>9.370799999999997</v>
      </c>
      <c r="AJ244" s="2"/>
      <c r="AK244" s="290">
        <v>8.722799999999998</v>
      </c>
      <c r="AL244" s="147">
        <f t="shared" si="78"/>
        <v>765.9655771</v>
      </c>
      <c r="AU244" s="2"/>
      <c r="AV244" s="2"/>
      <c r="AW244" s="2"/>
      <c r="AX244" s="2"/>
      <c r="AY244" s="2"/>
      <c r="AZ244" s="2"/>
      <c r="BA244" s="2"/>
      <c r="BB244" s="2"/>
      <c r="BC244" s="2"/>
      <c r="BD244" s="2"/>
      <c r="BE244" s="2"/>
      <c r="BF244" s="2"/>
      <c r="BG244" s="2"/>
      <c r="BH244" s="2"/>
      <c r="BI244" s="2"/>
      <c r="BJ244" s="2"/>
      <c r="BK244" s="2"/>
      <c r="BL244" s="2"/>
    </row>
    <row r="24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H245" s="2">
        <v>9.346799999999998</v>
      </c>
      <c r="AI245" s="2">
        <v>9.346799999999998</v>
      </c>
      <c r="AJ245" s="2"/>
      <c r="AK245" s="290">
        <v>8.698799999999999</v>
      </c>
      <c r="AL245" s="147">
        <f t="shared" si="78"/>
        <v>759.9503959</v>
      </c>
      <c r="AU245" s="2"/>
      <c r="AV245" s="2"/>
      <c r="AW245" s="2"/>
      <c r="AX245" s="2"/>
      <c r="AY245" s="2"/>
      <c r="AZ245" s="2"/>
      <c r="BA245" s="2"/>
      <c r="BB245" s="2"/>
      <c r="BC245" s="2"/>
      <c r="BD245" s="2"/>
      <c r="BE245" s="2"/>
      <c r="BF245" s="2"/>
      <c r="BG245" s="2"/>
      <c r="BH245" s="2"/>
      <c r="BI245" s="2"/>
      <c r="BJ245" s="2"/>
      <c r="BK245" s="2"/>
      <c r="BL245" s="2"/>
    </row>
    <row r="246">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H246" s="2">
        <v>9.322799999999999</v>
      </c>
      <c r="AI246" s="2">
        <v>9.322799999999999</v>
      </c>
      <c r="AJ246" s="2"/>
      <c r="AK246" s="290">
        <v>8.6748</v>
      </c>
      <c r="AL246" s="147">
        <f t="shared" si="78"/>
        <v>753.9667707</v>
      </c>
      <c r="AU246" s="2"/>
      <c r="AV246" s="2"/>
      <c r="AW246" s="2"/>
      <c r="AX246" s="2"/>
      <c r="AY246" s="2"/>
      <c r="AZ246" s="2"/>
      <c r="BA246" s="2"/>
      <c r="BB246" s="2"/>
      <c r="BC246" s="2"/>
      <c r="BD246" s="2"/>
      <c r="BE246" s="2"/>
      <c r="BF246" s="2"/>
      <c r="BG246" s="2"/>
      <c r="BH246" s="2"/>
      <c r="BI246" s="2"/>
      <c r="BJ246" s="2"/>
      <c r="BK246" s="2"/>
      <c r="BL246" s="2"/>
    </row>
    <row r="247">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v>8.5908</v>
      </c>
      <c r="AI247" s="2">
        <v>8.5908</v>
      </c>
      <c r="AJ247" s="2"/>
      <c r="AK247" s="290">
        <v>7.942799999999999</v>
      </c>
      <c r="AL247" s="147">
        <f t="shared" si="78"/>
        <v>586.1932916</v>
      </c>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row>
    <row r="248">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v>8.5668</v>
      </c>
      <c r="AI248" s="2">
        <v>8.5668</v>
      </c>
      <c r="AJ248" s="2"/>
      <c r="AK248" s="290">
        <v>7.918799999999999</v>
      </c>
      <c r="AL248" s="147">
        <f t="shared" si="78"/>
        <v>581.1612249</v>
      </c>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row>
    <row r="249">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row>
    <row r="250">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row>
    <row r="25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row>
    <row r="252">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row>
    <row r="253">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row>
    <row r="254">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row>
    <row r="25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row>
    <row r="256">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row>
    <row r="257">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row>
    <row r="258">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row>
    <row r="259">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row>
    <row r="260">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row>
    <row r="26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row>
    <row r="262">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row>
    <row r="263">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row>
    <row r="264">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row>
    <row r="26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row>
    <row r="266">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row>
    <row r="267">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row>
    <row r="268">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row>
    <row r="269">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7" t="s">
        <v>277</v>
      </c>
      <c r="AF269" s="2"/>
      <c r="AG269" s="2">
        <v>581.55369419872</v>
      </c>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row>
    <row r="270">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90" t="s">
        <v>278</v>
      </c>
      <c r="AG270" s="290" t="s">
        <v>279</v>
      </c>
      <c r="AH270" s="290" t="s">
        <v>280</v>
      </c>
      <c r="AI270" s="290"/>
      <c r="AJ270" s="290"/>
      <c r="AK270" s="290"/>
      <c r="AL270" s="290"/>
      <c r="AM270" s="290" t="s">
        <v>281</v>
      </c>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row>
    <row r="27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90"/>
      <c r="AF271" s="151">
        <v>0.009</v>
      </c>
      <c r="AG271" s="2">
        <f>10148/1000</f>
        <v>10.148</v>
      </c>
      <c r="AH271" s="2">
        <v>10.148</v>
      </c>
      <c r="AK271" s="290"/>
      <c r="AL271" s="290"/>
      <c r="AM271" s="2">
        <f t="shared" ref="AM271:AM279" si="79">AF271*AG271*AH271*2</f>
        <v>1.853674272</v>
      </c>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row>
    <row r="272">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90"/>
      <c r="AF272" s="7">
        <v>0.291</v>
      </c>
      <c r="AG272" s="2">
        <f>10148/1000-(AF271*2)</f>
        <v>10.13</v>
      </c>
      <c r="AH272" s="2">
        <f>10148/1000-(AF271*2)</f>
        <v>10.13</v>
      </c>
      <c r="AI272" s="290"/>
      <c r="AJ272" s="290"/>
      <c r="AK272" s="290"/>
      <c r="AL272" s="290"/>
      <c r="AM272" s="2">
        <f t="shared" si="79"/>
        <v>59.7230358</v>
      </c>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row>
    <row r="273">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90"/>
      <c r="AF273" s="7">
        <v>6.0E-4</v>
      </c>
      <c r="AG273" s="2">
        <f t="shared" ref="AG273:AG279" si="80">AG272-(AF272*2)</f>
        <v>9.548</v>
      </c>
      <c r="AH273" s="151">
        <v>9.548</v>
      </c>
      <c r="AI273" s="290"/>
      <c r="AJ273" s="290"/>
      <c r="AK273" s="290"/>
      <c r="AL273" s="290"/>
      <c r="AM273" s="2">
        <f t="shared" si="79"/>
        <v>0.1093971648</v>
      </c>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row>
    <row r="274">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90"/>
      <c r="AF274" s="7">
        <v>0.088</v>
      </c>
      <c r="AG274" s="2">
        <f t="shared" si="80"/>
        <v>9.5468</v>
      </c>
      <c r="AH274" s="2">
        <v>9.546799999999998</v>
      </c>
      <c r="AI274" s="290"/>
      <c r="AJ274" s="290"/>
      <c r="AK274" s="290"/>
      <c r="AL274" s="290"/>
      <c r="AM274" s="2">
        <f t="shared" si="79"/>
        <v>16.04088468</v>
      </c>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row>
    <row r="27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90"/>
      <c r="AF275" s="290">
        <v>0.012</v>
      </c>
      <c r="AG275" s="2">
        <f t="shared" si="80"/>
        <v>9.3708</v>
      </c>
      <c r="AH275" s="151">
        <v>9.3708</v>
      </c>
      <c r="AI275" s="290"/>
      <c r="AJ275" s="290"/>
      <c r="AK275" s="290"/>
      <c r="AL275" s="290"/>
      <c r="AM275" s="2">
        <f t="shared" si="79"/>
        <v>2.107485423</v>
      </c>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row>
    <row r="276">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90"/>
      <c r="AF276" s="7">
        <v>0.012</v>
      </c>
      <c r="AG276" s="2">
        <f t="shared" si="80"/>
        <v>9.3468</v>
      </c>
      <c r="AH276" s="2">
        <v>9.346799999999998</v>
      </c>
      <c r="AI276" s="290"/>
      <c r="AJ276" s="290"/>
      <c r="AK276" s="290"/>
      <c r="AL276" s="290"/>
      <c r="AM276" s="2">
        <f t="shared" si="79"/>
        <v>2.096704086</v>
      </c>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row>
    <row r="277">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90"/>
      <c r="AF277" s="7">
        <v>0.366</v>
      </c>
      <c r="AG277" s="2">
        <f t="shared" si="80"/>
        <v>9.3228</v>
      </c>
      <c r="AH277" s="2">
        <v>9.322799999999999</v>
      </c>
      <c r="AI277" s="290"/>
      <c r="AJ277" s="290"/>
      <c r="AK277" s="290"/>
      <c r="AL277" s="290"/>
      <c r="AM277" s="2">
        <f t="shared" si="79"/>
        <v>63.62148708</v>
      </c>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row>
    <row r="278">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90"/>
      <c r="AF278" s="7">
        <v>0.012</v>
      </c>
      <c r="AG278" s="2">
        <f t="shared" si="80"/>
        <v>8.5908</v>
      </c>
      <c r="AH278" s="2">
        <v>8.5908</v>
      </c>
      <c r="AI278" s="290"/>
      <c r="AJ278" s="290"/>
      <c r="AK278" s="290"/>
      <c r="AL278" s="290"/>
      <c r="AM278" s="2">
        <f t="shared" si="79"/>
        <v>1.771244271</v>
      </c>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row>
    <row r="279">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90"/>
      <c r="AF279" s="7">
        <v>0.0012</v>
      </c>
      <c r="AG279" s="2">
        <f t="shared" si="80"/>
        <v>8.5668</v>
      </c>
      <c r="AH279" s="2">
        <v>8.5668</v>
      </c>
      <c r="AI279" s="290"/>
      <c r="AJ279" s="290"/>
      <c r="AK279" s="290"/>
      <c r="AL279" s="290"/>
      <c r="AM279" s="2">
        <f t="shared" si="79"/>
        <v>0.1761361494</v>
      </c>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row>
    <row r="280">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7" t="s">
        <v>282</v>
      </c>
      <c r="AF280" s="2">
        <f>SUM(AF271:AF279)</f>
        <v>0.7918</v>
      </c>
      <c r="AG280" s="2"/>
      <c r="AH280" s="2"/>
      <c r="AI280" s="2"/>
      <c r="AJ280" s="2"/>
      <c r="AK280" s="2"/>
      <c r="AL280" s="2"/>
      <c r="AM280" s="2">
        <f>SUM(AM271:AM279)</f>
        <v>147.5000489</v>
      </c>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row>
    <row r="28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90" t="s">
        <v>283</v>
      </c>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row>
    <row r="282">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90" t="s">
        <v>278</v>
      </c>
      <c r="AG282" s="290" t="s">
        <v>284</v>
      </c>
      <c r="AH282" s="290" t="s">
        <v>285</v>
      </c>
      <c r="AI282" s="2"/>
      <c r="AJ282" s="2"/>
      <c r="AK282" s="2"/>
      <c r="AL282" s="2"/>
      <c r="AM282" s="7" t="s">
        <v>286</v>
      </c>
      <c r="AN282" s="7" t="s">
        <v>287</v>
      </c>
      <c r="AO282" s="151" t="s">
        <v>288</v>
      </c>
      <c r="AP282" s="2"/>
      <c r="AQ282" s="2"/>
      <c r="AR282" s="2"/>
      <c r="AS282" s="2"/>
      <c r="AT282" s="2"/>
      <c r="AU282" s="2"/>
      <c r="AV282" s="2"/>
      <c r="AW282" s="2"/>
      <c r="AX282" s="2"/>
      <c r="AY282" s="2"/>
      <c r="AZ282" s="2"/>
      <c r="BA282" s="2"/>
      <c r="BB282" s="2"/>
      <c r="BC282" s="2"/>
      <c r="BD282" s="2"/>
      <c r="BE282" s="2"/>
      <c r="BF282" s="2"/>
      <c r="BG282" s="2"/>
      <c r="BH282" s="2"/>
      <c r="BI282" s="2"/>
      <c r="BJ282" s="2"/>
      <c r="BK282" s="2"/>
      <c r="BL282" s="2"/>
    </row>
    <row r="283">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7">
        <v>0.009</v>
      </c>
      <c r="AG283" s="2">
        <f>10148/1000</f>
        <v>10.148</v>
      </c>
      <c r="AH283" s="151">
        <v>9.5</v>
      </c>
      <c r="AI283" s="290"/>
      <c r="AJ283" s="290"/>
      <c r="AK283" s="290"/>
      <c r="AL283" s="290"/>
      <c r="AM283" s="2">
        <f t="shared" ref="AM283:AM291" si="81">AF283*AG283*AH283</f>
        <v>0.867654</v>
      </c>
      <c r="AN283" s="2">
        <f t="shared" ref="AN283:AN291" si="82">AM283*4</f>
        <v>3.470616</v>
      </c>
      <c r="AO283" s="2">
        <f t="shared" ref="AO283:AO291" si="83">AN283+AM271</f>
        <v>5.324290272</v>
      </c>
      <c r="AP283" s="298"/>
      <c r="AQ283" s="298"/>
      <c r="AS283" s="2"/>
      <c r="AT283" s="2"/>
      <c r="AU283" s="2"/>
      <c r="AV283" s="2"/>
      <c r="AW283" s="2"/>
      <c r="AX283" s="2"/>
      <c r="AY283" s="2"/>
      <c r="AZ283" s="2"/>
      <c r="BA283" s="2"/>
      <c r="BB283" s="2"/>
      <c r="BC283" s="2"/>
      <c r="BD283" s="2"/>
      <c r="BE283" s="2"/>
      <c r="BF283" s="2"/>
      <c r="BG283" s="2"/>
      <c r="BH283" s="2"/>
      <c r="BI283" s="2"/>
      <c r="BJ283" s="2"/>
      <c r="BK283" s="2"/>
      <c r="BL283" s="2"/>
    </row>
    <row r="284">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7">
        <v>0.291</v>
      </c>
      <c r="AG284" s="2">
        <f>10148/1000-(AF283*2)</f>
        <v>10.13</v>
      </c>
      <c r="AH284" s="290">
        <f t="shared" ref="AH284:AH291" si="84">AH283-(AF283*2)</f>
        <v>9.482</v>
      </c>
      <c r="AI284" s="290"/>
      <c r="AJ284" s="290"/>
      <c r="AK284" s="290"/>
      <c r="AL284" s="290"/>
      <c r="AM284" s="2">
        <f t="shared" si="81"/>
        <v>27.95132406</v>
      </c>
      <c r="AN284" s="2">
        <f t="shared" si="82"/>
        <v>111.8052962</v>
      </c>
      <c r="AO284" s="2">
        <f t="shared" si="83"/>
        <v>171.528332</v>
      </c>
      <c r="AP284" s="298"/>
      <c r="AQ284" s="298"/>
      <c r="AS284" s="2"/>
      <c r="AT284" s="2"/>
      <c r="AU284" s="2"/>
      <c r="AV284" s="2"/>
      <c r="AW284" s="2"/>
      <c r="AX284" s="2"/>
      <c r="AY284" s="2"/>
      <c r="AZ284" s="2"/>
      <c r="BA284" s="2"/>
      <c r="BB284" s="2"/>
      <c r="BC284" s="2"/>
      <c r="BD284" s="2"/>
      <c r="BE284" s="2"/>
      <c r="BF284" s="2"/>
      <c r="BG284" s="2"/>
      <c r="BH284" s="2"/>
      <c r="BI284" s="2"/>
      <c r="BJ284" s="2"/>
      <c r="BK284" s="2"/>
      <c r="BL284" s="2"/>
    </row>
    <row r="28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7">
        <v>6.0E-4</v>
      </c>
      <c r="AG285" s="2">
        <f t="shared" ref="AG285:AG291" si="85">AG284-(AF284*2)</f>
        <v>9.548</v>
      </c>
      <c r="AH285" s="290">
        <f t="shared" si="84"/>
        <v>8.9</v>
      </c>
      <c r="AI285" s="290"/>
      <c r="AJ285" s="290"/>
      <c r="AK285" s="290"/>
      <c r="AL285" s="290"/>
      <c r="AM285" s="2">
        <f t="shared" si="81"/>
        <v>0.05098632</v>
      </c>
      <c r="AN285" s="2">
        <f t="shared" si="82"/>
        <v>0.20394528</v>
      </c>
      <c r="AO285" s="2">
        <f t="shared" si="83"/>
        <v>0.3133424448</v>
      </c>
      <c r="AP285" s="299"/>
      <c r="AQ285" s="299"/>
      <c r="AS285" s="2"/>
      <c r="AT285" s="2"/>
      <c r="AU285" s="2"/>
      <c r="AV285" s="2"/>
      <c r="AW285" s="2"/>
      <c r="AX285" s="2"/>
      <c r="AY285" s="2"/>
      <c r="AZ285" s="2"/>
      <c r="BA285" s="2"/>
      <c r="BB285" s="2"/>
      <c r="BC285" s="2"/>
      <c r="BD285" s="2"/>
      <c r="BE285" s="2"/>
      <c r="BF285" s="2"/>
      <c r="BG285" s="2"/>
      <c r="BH285" s="2"/>
      <c r="BI285" s="2"/>
      <c r="BJ285" s="2"/>
      <c r="BK285" s="2"/>
      <c r="BL285" s="2"/>
    </row>
    <row r="286">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7">
        <v>0.088</v>
      </c>
      <c r="AG286" s="2">
        <f t="shared" si="85"/>
        <v>9.5468</v>
      </c>
      <c r="AH286" s="290">
        <f t="shared" si="84"/>
        <v>8.8988</v>
      </c>
      <c r="AI286" s="290"/>
      <c r="AJ286" s="290"/>
      <c r="AK286" s="290"/>
      <c r="AL286" s="290"/>
      <c r="AM286" s="2">
        <f t="shared" si="81"/>
        <v>7.476045618</v>
      </c>
      <c r="AN286" s="2">
        <f t="shared" si="82"/>
        <v>29.90418247</v>
      </c>
      <c r="AO286" s="2">
        <f t="shared" si="83"/>
        <v>45.94506715</v>
      </c>
      <c r="AP286" s="298"/>
      <c r="AQ286" s="298"/>
      <c r="AS286" s="2"/>
      <c r="AT286" s="2"/>
      <c r="AU286" s="2"/>
      <c r="AV286" s="2"/>
      <c r="AW286" s="2"/>
      <c r="AX286" s="2"/>
      <c r="AY286" s="2"/>
      <c r="AZ286" s="2"/>
      <c r="BA286" s="2"/>
      <c r="BB286" s="2"/>
      <c r="BC286" s="2"/>
      <c r="BD286" s="2"/>
      <c r="BE286" s="2"/>
      <c r="BF286" s="2"/>
      <c r="BG286" s="2"/>
      <c r="BH286" s="2"/>
      <c r="BI286" s="2"/>
      <c r="BJ286" s="2"/>
      <c r="BK286" s="2"/>
      <c r="BL286" s="2"/>
    </row>
    <row r="287">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90">
        <v>0.012</v>
      </c>
      <c r="AG287" s="2">
        <f t="shared" si="85"/>
        <v>9.3708</v>
      </c>
      <c r="AH287" s="290">
        <f t="shared" si="84"/>
        <v>8.7228</v>
      </c>
      <c r="AI287" s="290"/>
      <c r="AJ287" s="290"/>
      <c r="AK287" s="290"/>
      <c r="AL287" s="290"/>
      <c r="AM287" s="2">
        <f t="shared" si="81"/>
        <v>0.9808753709</v>
      </c>
      <c r="AN287" s="2">
        <f t="shared" si="82"/>
        <v>3.923501484</v>
      </c>
      <c r="AO287" s="2">
        <f t="shared" si="83"/>
        <v>6.030986907</v>
      </c>
      <c r="AP287" s="299"/>
      <c r="AQ287" s="299"/>
      <c r="AS287" s="2"/>
      <c r="AT287" s="2"/>
      <c r="AU287" s="2"/>
      <c r="AV287" s="2"/>
      <c r="AW287" s="2"/>
      <c r="AX287" s="2"/>
      <c r="AY287" s="2"/>
      <c r="AZ287" s="2"/>
      <c r="BA287" s="2"/>
      <c r="BB287" s="2"/>
      <c r="BC287" s="2"/>
      <c r="BD287" s="2"/>
      <c r="BE287" s="2"/>
      <c r="BF287" s="2"/>
      <c r="BG287" s="2"/>
      <c r="BH287" s="2"/>
      <c r="BI287" s="2"/>
      <c r="BJ287" s="2"/>
      <c r="BK287" s="2"/>
      <c r="BL287" s="2"/>
    </row>
    <row r="288">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7">
        <v>0.012</v>
      </c>
      <c r="AG288" s="2">
        <f t="shared" si="85"/>
        <v>9.3468</v>
      </c>
      <c r="AH288" s="290">
        <f t="shared" si="84"/>
        <v>8.6988</v>
      </c>
      <c r="AI288" s="290"/>
      <c r="AJ288" s="290"/>
      <c r="AK288" s="290"/>
      <c r="AL288" s="290"/>
      <c r="AM288" s="2">
        <f t="shared" si="81"/>
        <v>0.9756713261</v>
      </c>
      <c r="AN288" s="2">
        <f t="shared" si="82"/>
        <v>3.902685304</v>
      </c>
      <c r="AO288" s="2">
        <f t="shared" si="83"/>
        <v>5.99938939</v>
      </c>
      <c r="AP288" s="300"/>
      <c r="AQ288" s="300"/>
      <c r="AS288" s="2"/>
      <c r="AT288" s="2"/>
      <c r="AU288" s="2"/>
      <c r="AV288" s="2"/>
      <c r="AW288" s="2"/>
      <c r="AX288" s="2"/>
      <c r="AY288" s="2"/>
      <c r="AZ288" s="2"/>
      <c r="BA288" s="2"/>
      <c r="BB288" s="2"/>
      <c r="BC288" s="2"/>
      <c r="BD288" s="2"/>
      <c r="BE288" s="2"/>
      <c r="BF288" s="2"/>
      <c r="BG288" s="2"/>
      <c r="BH288" s="2"/>
      <c r="BI288" s="2"/>
      <c r="BJ288" s="2"/>
      <c r="BK288" s="2"/>
      <c r="BL288" s="2"/>
    </row>
    <row r="289">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7">
        <v>0.366</v>
      </c>
      <c r="AG289" s="2">
        <f t="shared" si="85"/>
        <v>9.3228</v>
      </c>
      <c r="AH289" s="290">
        <f t="shared" si="84"/>
        <v>8.6748</v>
      </c>
      <c r="AI289" s="290"/>
      <c r="AJ289" s="290"/>
      <c r="AK289" s="290"/>
      <c r="AL289" s="290"/>
      <c r="AM289" s="2">
        <f t="shared" si="81"/>
        <v>29.59967371</v>
      </c>
      <c r="AN289" s="2">
        <f t="shared" si="82"/>
        <v>118.3986948</v>
      </c>
      <c r="AO289" s="2">
        <f t="shared" si="83"/>
        <v>182.0201819</v>
      </c>
      <c r="AP289" s="299"/>
      <c r="AQ289" s="299"/>
      <c r="AS289" s="2"/>
      <c r="AT289" s="2"/>
      <c r="AU289" s="2"/>
      <c r="AV289" s="2"/>
      <c r="AW289" s="2"/>
      <c r="AX289" s="2"/>
      <c r="AY289" s="2"/>
      <c r="AZ289" s="2"/>
      <c r="BA289" s="2"/>
      <c r="BB289" s="2"/>
      <c r="BC289" s="2"/>
      <c r="BD289" s="2"/>
      <c r="BE289" s="2"/>
      <c r="BF289" s="2"/>
      <c r="BG289" s="2"/>
      <c r="BH289" s="2"/>
      <c r="BI289" s="2"/>
      <c r="BJ289" s="2"/>
      <c r="BK289" s="2"/>
      <c r="BL289" s="2"/>
    </row>
    <row r="290">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7">
        <v>0.012</v>
      </c>
      <c r="AG290" s="2">
        <f t="shared" si="85"/>
        <v>8.5908</v>
      </c>
      <c r="AH290" s="290">
        <f t="shared" si="84"/>
        <v>7.9428</v>
      </c>
      <c r="AI290" s="290"/>
      <c r="AJ290" s="290"/>
      <c r="AK290" s="290"/>
      <c r="AL290" s="290"/>
      <c r="AM290" s="2">
        <f t="shared" si="81"/>
        <v>0.8188200749</v>
      </c>
      <c r="AN290" s="2">
        <f t="shared" si="82"/>
        <v>3.2752803</v>
      </c>
      <c r="AO290" s="2">
        <f t="shared" si="83"/>
        <v>5.046524571</v>
      </c>
      <c r="AP290" s="298"/>
      <c r="AQ290" s="298"/>
      <c r="AS290" s="2"/>
      <c r="AT290" s="2"/>
      <c r="AU290" s="2"/>
      <c r="AV290" s="2"/>
      <c r="AW290" s="2"/>
      <c r="AX290" s="2"/>
      <c r="AY290" s="2"/>
      <c r="AZ290" s="2"/>
      <c r="BA290" s="2"/>
      <c r="BB290" s="2"/>
      <c r="BC290" s="2"/>
      <c r="BD290" s="2"/>
      <c r="BE290" s="2"/>
      <c r="BF290" s="2"/>
      <c r="BG290" s="2"/>
      <c r="BH290" s="2"/>
      <c r="BI290" s="2"/>
      <c r="BJ290" s="2"/>
      <c r="BK290" s="2"/>
      <c r="BL290" s="2"/>
    </row>
    <row r="29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7">
        <v>0.0012</v>
      </c>
      <c r="AG291" s="2">
        <f t="shared" si="85"/>
        <v>8.5668</v>
      </c>
      <c r="AH291" s="290">
        <f t="shared" si="84"/>
        <v>7.9188</v>
      </c>
      <c r="AI291" s="290"/>
      <c r="AJ291" s="290"/>
      <c r="AK291" s="290"/>
      <c r="AL291" s="290"/>
      <c r="AM291" s="2">
        <f t="shared" si="81"/>
        <v>0.08140653101</v>
      </c>
      <c r="AN291" s="2">
        <f t="shared" si="82"/>
        <v>0.325626124</v>
      </c>
      <c r="AO291" s="2">
        <f t="shared" si="83"/>
        <v>0.5017622734</v>
      </c>
      <c r="AP291" s="298"/>
      <c r="AQ291" s="298"/>
      <c r="AS291" s="2"/>
      <c r="AT291" s="2"/>
      <c r="AU291" s="2"/>
      <c r="AV291" s="2"/>
      <c r="AW291" s="2"/>
      <c r="AX291" s="2"/>
      <c r="AY291" s="2"/>
      <c r="AZ291" s="2"/>
      <c r="BA291" s="2"/>
      <c r="BB291" s="2"/>
      <c r="BC291" s="2"/>
      <c r="BD291" s="2"/>
      <c r="BE291" s="2"/>
      <c r="BF291" s="2"/>
      <c r="BG291" s="2"/>
      <c r="BH291" s="2"/>
      <c r="BI291" s="2"/>
      <c r="BJ291" s="2"/>
      <c r="BK291" s="2"/>
      <c r="BL291" s="2"/>
    </row>
    <row r="292">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f>SUM(AO283:AO291)</f>
        <v>422.709877</v>
      </c>
      <c r="AS292" s="2"/>
      <c r="AT292" s="2"/>
      <c r="AU292" s="2"/>
      <c r="AV292" s="2"/>
      <c r="AW292" s="2"/>
      <c r="AX292" s="2"/>
      <c r="AY292" s="2"/>
      <c r="AZ292" s="2"/>
      <c r="BA292" s="2"/>
      <c r="BB292" s="2"/>
      <c r="BC292" s="2"/>
      <c r="BD292" s="2"/>
      <c r="BE292" s="2"/>
      <c r="BF292" s="2"/>
      <c r="BG292" s="2"/>
      <c r="BH292" s="2"/>
      <c r="BI292" s="2"/>
      <c r="BJ292" s="2"/>
      <c r="BK292" s="2"/>
      <c r="BL292" s="2"/>
    </row>
    <row r="293">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90" t="s">
        <v>289</v>
      </c>
      <c r="AF293" s="2"/>
      <c r="AG293" s="2"/>
      <c r="AH293" s="2"/>
      <c r="AI293" s="2"/>
      <c r="AJ293" s="2"/>
      <c r="AK293" s="2"/>
      <c r="AL293" s="2"/>
      <c r="AM293" s="2"/>
      <c r="AN293" s="7" t="s">
        <v>290</v>
      </c>
      <c r="AO293" s="2"/>
      <c r="AP293" s="300"/>
      <c r="AQ293" s="300"/>
      <c r="AS293" s="2"/>
      <c r="AT293" s="2"/>
      <c r="AU293" s="2"/>
      <c r="AV293" s="2"/>
      <c r="AW293" s="2"/>
      <c r="AX293" s="2"/>
      <c r="AY293" s="2"/>
      <c r="AZ293" s="2"/>
      <c r="BA293" s="2"/>
      <c r="BB293" s="2"/>
      <c r="BC293" s="2"/>
      <c r="BD293" s="2"/>
      <c r="BE293" s="2"/>
      <c r="BF293" s="2"/>
      <c r="BG293" s="2"/>
      <c r="BH293" s="2"/>
      <c r="BI293" s="2"/>
      <c r="BJ293" s="2"/>
      <c r="BK293" s="2"/>
      <c r="BL293" s="2"/>
    </row>
    <row r="294">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90"/>
      <c r="AG294" s="290" t="s">
        <v>14</v>
      </c>
      <c r="AH294" s="290" t="s">
        <v>15</v>
      </c>
      <c r="AI294" s="2"/>
      <c r="AJ294" s="2"/>
      <c r="AK294" s="2"/>
      <c r="AL294" s="2"/>
      <c r="AM294" s="2"/>
      <c r="AN294" s="290">
        <v>57.3</v>
      </c>
      <c r="AO294" s="2"/>
      <c r="AS294" s="2"/>
      <c r="AT294" s="2"/>
      <c r="AU294" s="2"/>
      <c r="AV294" s="2"/>
      <c r="AW294" s="2"/>
      <c r="AX294" s="2"/>
      <c r="AY294" s="2"/>
      <c r="AZ294" s="2"/>
      <c r="BA294" s="2"/>
      <c r="BB294" s="2"/>
      <c r="BC294" s="2"/>
      <c r="BD294" s="2"/>
      <c r="BE294" s="2"/>
      <c r="BF294" s="2"/>
      <c r="BG294" s="2"/>
      <c r="BH294" s="2"/>
      <c r="BI294" s="2"/>
      <c r="BJ294" s="2"/>
      <c r="BK294" s="2"/>
      <c r="BL294" s="2"/>
    </row>
    <row r="29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90">
        <v>0.8</v>
      </c>
      <c r="AG295" s="290">
        <v>10.148</v>
      </c>
      <c r="AH295" s="290">
        <v>10.148</v>
      </c>
      <c r="AI295" s="290"/>
      <c r="AJ295" s="290"/>
      <c r="AK295" s="290"/>
      <c r="AL295" s="290"/>
      <c r="AM295" s="2"/>
      <c r="AN295" s="2"/>
      <c r="AO295" s="7" t="s">
        <v>291</v>
      </c>
      <c r="AP295" s="2"/>
      <c r="AQ295" s="2"/>
      <c r="AR295" s="2"/>
      <c r="AS295" s="2"/>
      <c r="AT295" s="2"/>
      <c r="AU295" s="2"/>
      <c r="AV295" s="2"/>
      <c r="AW295" s="2"/>
      <c r="AX295" s="2"/>
      <c r="AY295" s="2"/>
      <c r="AZ295" s="2"/>
      <c r="BA295" s="2"/>
      <c r="BB295" s="2"/>
      <c r="BC295" s="2"/>
      <c r="BD295" s="2"/>
      <c r="BE295" s="2"/>
      <c r="BF295" s="2"/>
      <c r="BG295" s="2"/>
      <c r="BH295" s="2"/>
      <c r="BI295" s="2"/>
      <c r="BJ295" s="2"/>
      <c r="BK295" s="2"/>
      <c r="BL295" s="2"/>
    </row>
    <row r="296">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90">
        <v>0.002</v>
      </c>
      <c r="AG296" s="290">
        <v>10.148</v>
      </c>
      <c r="AH296" s="290">
        <v>10.148</v>
      </c>
      <c r="AI296" s="290"/>
      <c r="AJ296" s="290"/>
      <c r="AK296" s="290"/>
      <c r="AL296" s="290"/>
      <c r="AM296" s="2"/>
      <c r="AN296" s="2"/>
      <c r="AO296" s="2">
        <f>AO292+AN294</f>
        <v>480.009877</v>
      </c>
      <c r="AP296" s="2"/>
      <c r="AQ296" s="2"/>
      <c r="AR296" s="2"/>
      <c r="AS296" s="2"/>
      <c r="AT296" s="2"/>
      <c r="AU296" s="2"/>
      <c r="AV296" s="2"/>
      <c r="AW296" s="2"/>
      <c r="AX296" s="2"/>
      <c r="AY296" s="2"/>
      <c r="AZ296" s="2"/>
      <c r="BA296" s="2"/>
      <c r="BB296" s="2"/>
      <c r="BC296" s="2"/>
      <c r="BD296" s="2"/>
      <c r="BE296" s="2"/>
      <c r="BF296" s="2"/>
      <c r="BG296" s="2"/>
      <c r="BH296" s="2"/>
      <c r="BI296" s="2"/>
      <c r="BJ296" s="2"/>
      <c r="BK296" s="2"/>
      <c r="BL296" s="2"/>
    </row>
    <row r="297">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90"/>
      <c r="AF297" s="2"/>
      <c r="AG297" s="2"/>
      <c r="AH297" s="290"/>
      <c r="AI297" s="290"/>
      <c r="AJ297" s="290"/>
      <c r="AK297" s="290"/>
      <c r="AL297" s="290"/>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row>
    <row r="298">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row>
    <row r="299">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row>
    <row r="300">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7" t="s">
        <v>292</v>
      </c>
      <c r="AG300" s="7" t="s">
        <v>290</v>
      </c>
      <c r="AH300" s="2"/>
      <c r="AI300" s="2"/>
      <c r="AJ300" s="2"/>
      <c r="AK300" s="2"/>
      <c r="AL300" s="2"/>
      <c r="AO300" s="7">
        <v>0.537</v>
      </c>
      <c r="AP300" s="2"/>
      <c r="AQ300" s="2"/>
      <c r="AR300" s="2"/>
      <c r="AS300" s="2"/>
      <c r="AT300" s="2"/>
      <c r="AU300" s="2"/>
      <c r="AV300" s="2"/>
      <c r="AW300" s="2"/>
      <c r="AX300" s="2"/>
      <c r="AY300" s="2"/>
      <c r="AZ300" s="2"/>
      <c r="BA300" s="2"/>
      <c r="BB300" s="2"/>
      <c r="BC300" s="2"/>
      <c r="BD300" s="2"/>
      <c r="BE300" s="2"/>
      <c r="BF300" s="2"/>
      <c r="BG300" s="2"/>
      <c r="BH300" s="2"/>
      <c r="BI300" s="2"/>
      <c r="BJ300" s="2"/>
      <c r="BK300" s="2"/>
      <c r="BL300" s="2"/>
    </row>
    <row r="30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7">
        <v>7820.0</v>
      </c>
      <c r="AF301" s="2">
        <f t="shared" ref="AF301:AF309" si="86">AO283*AE301</f>
        <v>41635.94993</v>
      </c>
      <c r="AG301" s="7">
        <v>57.3</v>
      </c>
      <c r="AH301" s="2"/>
      <c r="AI301" s="2"/>
      <c r="AJ301" s="2"/>
      <c r="AK301" s="2"/>
      <c r="AL301" s="2"/>
      <c r="AO301" s="7">
        <v>4.144</v>
      </c>
      <c r="AP301" s="2"/>
      <c r="AQ301" s="2"/>
      <c r="AR301" s="2"/>
      <c r="AS301" s="2"/>
      <c r="AT301" s="2"/>
      <c r="AU301" s="2"/>
      <c r="AV301" s="2"/>
      <c r="AW301" s="2"/>
      <c r="AX301" s="2"/>
      <c r="AY301" s="2"/>
      <c r="AZ301" s="2"/>
      <c r="BA301" s="2"/>
      <c r="BB301" s="2"/>
      <c r="BC301" s="2"/>
      <c r="BD301" s="2"/>
      <c r="BE301" s="2"/>
      <c r="BF301" s="2"/>
      <c r="BG301" s="2"/>
      <c r="BH301" s="2"/>
      <c r="BI301" s="2"/>
      <c r="BJ301" s="2"/>
      <c r="BK301" s="2"/>
      <c r="BL301" s="2"/>
    </row>
    <row r="302">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7">
        <v>650.0</v>
      </c>
      <c r="AF302" s="2">
        <f t="shared" si="86"/>
        <v>111493.4158</v>
      </c>
      <c r="AG302" s="2"/>
      <c r="AH302" s="2"/>
      <c r="AI302" s="2"/>
      <c r="AJ302" s="2"/>
      <c r="AK302" s="2"/>
      <c r="AL302" s="2"/>
      <c r="AO302" s="7">
        <v>140.5</v>
      </c>
      <c r="AP302" s="2"/>
      <c r="AQ302" s="2"/>
      <c r="AR302" s="2"/>
      <c r="AS302" s="2"/>
      <c r="AT302" s="2"/>
      <c r="AU302" s="2"/>
      <c r="AV302" s="2"/>
      <c r="AW302" s="2"/>
      <c r="AX302" s="2"/>
      <c r="AY302" s="2"/>
      <c r="AZ302" s="2"/>
      <c r="BA302" s="2"/>
      <c r="BB302" s="2"/>
      <c r="BC302" s="2"/>
      <c r="BD302" s="2"/>
      <c r="BE302" s="2"/>
      <c r="BF302" s="2"/>
      <c r="BG302" s="2"/>
      <c r="BH302" s="2"/>
      <c r="BI302" s="2"/>
      <c r="BJ302" s="2"/>
      <c r="BK302" s="2"/>
      <c r="BL302" s="2"/>
    </row>
    <row r="303">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7">
        <v>88.0</v>
      </c>
      <c r="AF303" s="2">
        <f t="shared" si="86"/>
        <v>27.57413514</v>
      </c>
      <c r="AG303" s="2"/>
      <c r="AH303" s="2"/>
      <c r="AI303" s="2"/>
      <c r="AJ303" s="2"/>
      <c r="AK303" s="2"/>
      <c r="AL303" s="2"/>
      <c r="AO303" s="7">
        <v>5.072</v>
      </c>
      <c r="AP303" s="2"/>
      <c r="AQ303" s="2"/>
      <c r="AR303" s="2"/>
      <c r="AS303" s="2"/>
      <c r="AT303" s="2"/>
      <c r="AU303" s="2"/>
      <c r="AV303" s="2"/>
      <c r="AW303" s="2"/>
      <c r="AX303" s="2"/>
      <c r="AY303" s="2"/>
      <c r="AZ303" s="2"/>
      <c r="BA303" s="2"/>
      <c r="BB303" s="2"/>
      <c r="BC303" s="2"/>
      <c r="BD303" s="2"/>
      <c r="BE303" s="2"/>
      <c r="BF303" s="2"/>
      <c r="BG303" s="2"/>
      <c r="BH303" s="2"/>
      <c r="BI303" s="2"/>
      <c r="BJ303" s="2"/>
      <c r="BK303" s="2"/>
      <c r="BL303" s="2"/>
    </row>
    <row r="304">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7">
        <v>650.0</v>
      </c>
      <c r="AF304" s="2">
        <f t="shared" si="86"/>
        <v>29864.29365</v>
      </c>
      <c r="AG304" s="2"/>
      <c r="AH304" s="2"/>
      <c r="AI304" s="2"/>
      <c r="AJ304" s="2"/>
      <c r="AK304" s="2"/>
      <c r="AL304" s="2"/>
      <c r="AO304" s="7">
        <v>5.101</v>
      </c>
      <c r="AP304" s="2"/>
      <c r="AQ304" s="2"/>
      <c r="AR304" s="2"/>
      <c r="AS304" s="2"/>
      <c r="AT304" s="2"/>
      <c r="AU304" s="2"/>
      <c r="AV304" s="2"/>
      <c r="AW304" s="2"/>
      <c r="AX304" s="2"/>
      <c r="AY304" s="2"/>
      <c r="AZ304" s="2"/>
      <c r="BA304" s="2"/>
      <c r="BB304" s="2"/>
      <c r="BC304" s="2"/>
      <c r="BD304" s="2"/>
      <c r="BE304" s="2"/>
      <c r="BF304" s="2"/>
      <c r="BG304" s="2"/>
      <c r="BH304" s="2"/>
      <c r="BI304" s="2"/>
      <c r="BJ304" s="2"/>
      <c r="BK304" s="2"/>
      <c r="BL304" s="2"/>
    </row>
    <row r="30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7">
        <v>650.0</v>
      </c>
      <c r="AF305" s="2">
        <f t="shared" si="86"/>
        <v>3920.141489</v>
      </c>
      <c r="AG305" s="2"/>
      <c r="AH305" s="2"/>
      <c r="AI305" s="2"/>
      <c r="AJ305" s="2"/>
      <c r="AK305" s="2"/>
      <c r="AL305" s="2"/>
      <c r="AO305" s="7">
        <v>38.32</v>
      </c>
      <c r="AP305" s="2"/>
      <c r="AQ305" s="2"/>
      <c r="AR305" s="2"/>
      <c r="AS305" s="2"/>
      <c r="AT305" s="2"/>
      <c r="AU305" s="2"/>
      <c r="AV305" s="2"/>
      <c r="AW305" s="2"/>
      <c r="AX305" s="2"/>
      <c r="AY305" s="2"/>
      <c r="AZ305" s="2"/>
      <c r="BA305" s="2"/>
      <c r="BB305" s="2"/>
      <c r="BC305" s="2"/>
      <c r="BD305" s="2"/>
      <c r="BE305" s="2"/>
      <c r="BF305" s="2"/>
      <c r="BG305" s="2"/>
      <c r="BH305" s="2"/>
      <c r="BI305" s="2"/>
      <c r="BJ305" s="2"/>
      <c r="BK305" s="2"/>
      <c r="BL305" s="2"/>
    </row>
    <row r="306">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7">
        <v>88.0</v>
      </c>
      <c r="AF306" s="2">
        <f t="shared" si="86"/>
        <v>527.9462663</v>
      </c>
      <c r="AG306" s="2"/>
      <c r="AH306" s="2"/>
      <c r="AI306" s="2"/>
      <c r="AJ306" s="2"/>
      <c r="AK306" s="2"/>
      <c r="AL306" s="2"/>
      <c r="AO306" s="7">
        <v>0.262</v>
      </c>
      <c r="AP306" s="2"/>
      <c r="AQ306" s="2"/>
      <c r="AR306" s="2"/>
      <c r="AS306" s="2"/>
      <c r="AT306" s="2"/>
      <c r="AU306" s="2"/>
      <c r="AV306" s="2"/>
      <c r="AW306" s="2"/>
      <c r="AX306" s="2"/>
      <c r="AY306" s="2"/>
      <c r="AZ306" s="2"/>
      <c r="BA306" s="2"/>
      <c r="BB306" s="2"/>
      <c r="BC306" s="2"/>
      <c r="BD306" s="2"/>
      <c r="BE306" s="2"/>
      <c r="BF306" s="2"/>
      <c r="BG306" s="2"/>
      <c r="BH306" s="2"/>
      <c r="BI306" s="2"/>
      <c r="BJ306" s="2"/>
      <c r="BK306" s="2"/>
      <c r="BL306" s="2"/>
    </row>
    <row r="307">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7">
        <v>1330.0</v>
      </c>
      <c r="AF307" s="2">
        <f t="shared" si="86"/>
        <v>242086.842</v>
      </c>
      <c r="AG307" s="2"/>
      <c r="AH307" s="2"/>
      <c r="AI307" s="2"/>
      <c r="AJ307" s="2"/>
      <c r="AK307" s="2"/>
      <c r="AL307" s="2"/>
      <c r="AO307" s="7">
        <v>138.5</v>
      </c>
      <c r="AP307" s="2"/>
      <c r="AQ307" s="2"/>
      <c r="AR307" s="2"/>
      <c r="AS307" s="2"/>
      <c r="AT307" s="2"/>
      <c r="AU307" s="2"/>
      <c r="AV307" s="2"/>
      <c r="AW307" s="2"/>
      <c r="AX307" s="2"/>
      <c r="AY307" s="2"/>
      <c r="AZ307" s="2"/>
      <c r="BA307" s="2"/>
      <c r="BB307" s="2"/>
      <c r="BC307" s="2"/>
      <c r="BD307" s="2"/>
      <c r="BE307" s="2"/>
      <c r="BF307" s="2"/>
      <c r="BG307" s="2"/>
      <c r="BH307" s="2"/>
      <c r="BI307" s="2"/>
      <c r="BJ307" s="2"/>
      <c r="BK307" s="2"/>
      <c r="BL307" s="2"/>
    </row>
    <row r="308">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7">
        <v>88.0</v>
      </c>
      <c r="AF308" s="2">
        <f t="shared" si="86"/>
        <v>444.0941622</v>
      </c>
      <c r="AG308" s="2"/>
      <c r="AH308" s="2"/>
      <c r="AI308" s="2"/>
      <c r="AJ308" s="2"/>
      <c r="AK308" s="2"/>
      <c r="AL308" s="2"/>
      <c r="AO308" s="7">
        <v>4.577</v>
      </c>
      <c r="AP308" s="2"/>
      <c r="AQ308" s="2"/>
      <c r="AR308" s="2"/>
      <c r="AS308" s="2"/>
      <c r="AT308" s="2"/>
      <c r="AU308" s="2"/>
      <c r="AV308" s="2"/>
      <c r="AW308" s="2"/>
      <c r="AX308" s="2"/>
      <c r="AY308" s="2"/>
      <c r="AZ308" s="2"/>
      <c r="BA308" s="2"/>
      <c r="BB308" s="2"/>
      <c r="BC308" s="2"/>
      <c r="BD308" s="2"/>
      <c r="BE308" s="2"/>
      <c r="BF308" s="2"/>
      <c r="BG308" s="2"/>
      <c r="BH308" s="2"/>
      <c r="BI308" s="2"/>
      <c r="BJ308" s="2"/>
      <c r="BK308" s="2"/>
      <c r="BL308" s="2"/>
    </row>
    <row r="309">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7">
        <v>650.0</v>
      </c>
      <c r="AF309" s="2">
        <f t="shared" si="86"/>
        <v>326.1454777</v>
      </c>
      <c r="AG309" s="2"/>
      <c r="AH309" s="2"/>
      <c r="AI309" s="2"/>
      <c r="AJ309" s="2"/>
      <c r="AK309" s="2"/>
      <c r="AL309" s="2"/>
      <c r="AO309" s="2">
        <f>SUM(AO300:AO308)</f>
        <v>337.013</v>
      </c>
      <c r="AP309" s="2"/>
      <c r="AQ309" s="2"/>
      <c r="AR309" s="2"/>
      <c r="AS309" s="2"/>
      <c r="AT309" s="2"/>
      <c r="AU309" s="2"/>
      <c r="AV309" s="2"/>
      <c r="AW309" s="2"/>
      <c r="AX309" s="2"/>
      <c r="AY309" s="2"/>
      <c r="AZ309" s="2"/>
      <c r="BA309" s="2"/>
      <c r="BB309" s="2"/>
      <c r="BC309" s="2"/>
      <c r="BD309" s="2"/>
      <c r="BE309" s="2"/>
      <c r="BF309" s="2"/>
      <c r="BG309" s="2"/>
      <c r="BH309" s="2"/>
      <c r="BI309" s="2"/>
      <c r="BJ309" s="2"/>
      <c r="BK309" s="2"/>
      <c r="BL309" s="2"/>
    </row>
    <row r="310">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F310" s="2">
        <f>SUM(AF301:AF309)</f>
        <v>430326.4029</v>
      </c>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row>
    <row r="31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7" t="s">
        <v>230</v>
      </c>
      <c r="AF311" s="2">
        <f>AF310/1000</f>
        <v>430.3264029</v>
      </c>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row>
    <row r="312">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6" t="s">
        <v>293</v>
      </c>
      <c r="AF312" s="2">
        <f>AF311+AG311</f>
        <v>430.3264029</v>
      </c>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row>
    <row r="313" ht="24.7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row>
    <row r="314">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T314" s="2"/>
      <c r="AU314" s="2"/>
      <c r="AV314" s="2"/>
      <c r="AW314" s="2"/>
      <c r="AX314" s="2"/>
      <c r="AY314" s="2"/>
      <c r="AZ314" s="2"/>
      <c r="BA314" s="2"/>
      <c r="BB314" s="2"/>
      <c r="BC314" s="2"/>
      <c r="BD314" s="2"/>
      <c r="BE314" s="2"/>
      <c r="BF314" s="2"/>
      <c r="BG314" s="2"/>
      <c r="BH314" s="2"/>
      <c r="BI314" s="2"/>
      <c r="BJ314" s="2"/>
      <c r="BK314" s="2"/>
      <c r="BL314" s="2"/>
    </row>
    <row r="31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T315" s="2"/>
      <c r="AU315" s="2"/>
      <c r="AV315" s="2"/>
      <c r="AW315" s="2"/>
      <c r="AX315" s="2"/>
      <c r="AY315" s="2"/>
      <c r="AZ315" s="2"/>
      <c r="BA315" s="2"/>
      <c r="BB315" s="2"/>
      <c r="BC315" s="2"/>
      <c r="BD315" s="2"/>
      <c r="BE315" s="2"/>
      <c r="BF315" s="2"/>
      <c r="BG315" s="2"/>
      <c r="BH315" s="2"/>
      <c r="BI315" s="2"/>
      <c r="BJ315" s="2"/>
      <c r="BK315" s="2"/>
      <c r="BL315" s="2"/>
    </row>
    <row r="316">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T316" s="2"/>
      <c r="AU316" s="2"/>
      <c r="AV316" s="2"/>
      <c r="AW316" s="2"/>
      <c r="AX316" s="2"/>
      <c r="AY316" s="2"/>
      <c r="AZ316" s="2"/>
      <c r="BA316" s="2"/>
      <c r="BB316" s="2"/>
      <c r="BC316" s="2"/>
      <c r="BD316" s="2"/>
      <c r="BE316" s="2"/>
      <c r="BF316" s="2"/>
      <c r="BG316" s="2"/>
      <c r="BH316" s="2"/>
      <c r="BI316" s="2"/>
      <c r="BJ316" s="2"/>
      <c r="BK316" s="2"/>
      <c r="BL316" s="2"/>
    </row>
    <row r="317">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G317" s="290" t="s">
        <v>278</v>
      </c>
      <c r="AH317" s="290" t="s">
        <v>284</v>
      </c>
      <c r="AI317" s="290" t="s">
        <v>285</v>
      </c>
      <c r="AJ317" s="290"/>
      <c r="AT317" s="2"/>
      <c r="AU317" s="2"/>
      <c r="AV317" s="2"/>
      <c r="AW317" s="2"/>
      <c r="AX317" s="2"/>
      <c r="AY317" s="2"/>
      <c r="AZ317" s="2"/>
      <c r="BA317" s="2"/>
      <c r="BB317" s="2"/>
      <c r="BC317" s="2"/>
      <c r="BD317" s="2"/>
      <c r="BE317" s="2"/>
      <c r="BF317" s="2"/>
      <c r="BG317" s="2"/>
      <c r="BH317" s="2"/>
      <c r="BI317" s="2"/>
      <c r="BJ317" s="2"/>
      <c r="BK317" s="2"/>
      <c r="BL317" s="2"/>
    </row>
    <row r="318">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G318" s="7">
        <v>0.009</v>
      </c>
      <c r="AH318" s="2">
        <f>10148/1000</f>
        <v>10.148</v>
      </c>
      <c r="AI318" s="290">
        <v>9.5</v>
      </c>
      <c r="AJ318" s="290"/>
      <c r="AK318" s="44">
        <v>8.5668</v>
      </c>
      <c r="AL318" s="44">
        <v>7.9188</v>
      </c>
      <c r="AM318" s="147">
        <f t="shared" ref="AM318:AM326" si="87">AG318*AK318*AL318</f>
        <v>0.6105489826</v>
      </c>
      <c r="AT318" s="2"/>
      <c r="AU318" s="2"/>
      <c r="AV318" s="2"/>
      <c r="AW318" s="2"/>
      <c r="AX318" s="2"/>
      <c r="AY318" s="2"/>
      <c r="AZ318" s="2"/>
      <c r="BA318" s="2"/>
      <c r="BB318" s="2"/>
      <c r="BC318" s="2"/>
      <c r="BD318" s="2"/>
      <c r="BE318" s="2"/>
      <c r="BF318" s="2"/>
      <c r="BG318" s="2"/>
      <c r="BH318" s="2"/>
      <c r="BI318" s="2"/>
      <c r="BJ318" s="2"/>
      <c r="BK318" s="2"/>
      <c r="BL318" s="2"/>
    </row>
    <row r="319">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G319" s="7">
        <v>0.291</v>
      </c>
      <c r="AH319" s="2">
        <f>10148/1000-(AG318*2)</f>
        <v>10.13</v>
      </c>
      <c r="AI319" s="290">
        <f t="shared" ref="AI319:AI326" si="88">AI318-(AG318*2)</f>
        <v>9.482</v>
      </c>
      <c r="AJ319" s="290"/>
      <c r="AK319" s="44">
        <v>8.5908</v>
      </c>
      <c r="AL319" s="44">
        <v>7.9428</v>
      </c>
      <c r="AM319" s="147">
        <f t="shared" si="87"/>
        <v>19.85638682</v>
      </c>
      <c r="AT319" s="2"/>
      <c r="AU319" s="2"/>
      <c r="AV319" s="2"/>
      <c r="AW319" s="2"/>
      <c r="AX319" s="2"/>
      <c r="AY319" s="2"/>
      <c r="AZ319" s="2"/>
      <c r="BA319" s="2"/>
      <c r="BB319" s="2"/>
      <c r="BC319" s="2"/>
      <c r="BD319" s="2"/>
      <c r="BE319" s="2"/>
      <c r="BF319" s="2"/>
      <c r="BG319" s="2"/>
      <c r="BH319" s="2"/>
      <c r="BI319" s="2"/>
      <c r="BJ319" s="2"/>
      <c r="BK319" s="2"/>
      <c r="BL319" s="2"/>
    </row>
    <row r="320">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G320" s="7">
        <v>6.0E-4</v>
      </c>
      <c r="AH320" s="2">
        <f t="shared" ref="AH320:AH326" si="89">AH319-(AG319*2)</f>
        <v>9.548</v>
      </c>
      <c r="AI320" s="290">
        <f t="shared" si="88"/>
        <v>8.9</v>
      </c>
      <c r="AJ320" s="290"/>
      <c r="AK320" s="44">
        <v>9.3228</v>
      </c>
      <c r="AL320" s="44">
        <v>8.6748</v>
      </c>
      <c r="AM320" s="147">
        <f t="shared" si="87"/>
        <v>0.04852405526</v>
      </c>
      <c r="AT320" s="2"/>
      <c r="AU320" s="2"/>
      <c r="AV320" s="2"/>
      <c r="AW320" s="2"/>
      <c r="AX320" s="2"/>
      <c r="AY320" s="2"/>
      <c r="AZ320" s="2"/>
      <c r="BA320" s="2"/>
      <c r="BB320" s="2"/>
      <c r="BC320" s="2"/>
      <c r="BD320" s="2"/>
      <c r="BE320" s="2"/>
      <c r="BF320" s="2"/>
      <c r="BG320" s="2"/>
      <c r="BH320" s="2"/>
      <c r="BI320" s="2"/>
      <c r="BJ320" s="2"/>
      <c r="BK320" s="2"/>
      <c r="BL320" s="2"/>
    </row>
    <row r="32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G321" s="7">
        <v>0.088</v>
      </c>
      <c r="AH321" s="2">
        <f t="shared" si="89"/>
        <v>9.5468</v>
      </c>
      <c r="AI321" s="290">
        <f t="shared" si="88"/>
        <v>8.8988</v>
      </c>
      <c r="AJ321" s="290"/>
      <c r="AK321" s="44">
        <v>9.3468</v>
      </c>
      <c r="AL321" s="44">
        <v>8.6988</v>
      </c>
      <c r="AM321" s="147">
        <f t="shared" si="87"/>
        <v>7.154923058</v>
      </c>
      <c r="AT321" s="2"/>
      <c r="AU321" s="2"/>
      <c r="AV321" s="2"/>
      <c r="AW321" s="2"/>
      <c r="AX321" s="2"/>
      <c r="AY321" s="2"/>
      <c r="AZ321" s="2"/>
      <c r="BA321" s="2"/>
      <c r="BB321" s="2"/>
      <c r="BC321" s="2"/>
      <c r="BD321" s="2"/>
      <c r="BE321" s="2"/>
      <c r="BF321" s="2"/>
      <c r="BG321" s="2"/>
      <c r="BH321" s="2"/>
      <c r="BI321" s="2"/>
      <c r="BJ321" s="2"/>
      <c r="BK321" s="2"/>
      <c r="BL321" s="2"/>
    </row>
    <row r="322">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G322" s="290">
        <v>0.012</v>
      </c>
      <c r="AH322" s="2">
        <f t="shared" si="89"/>
        <v>9.3708</v>
      </c>
      <c r="AI322" s="290">
        <f t="shared" si="88"/>
        <v>8.7228</v>
      </c>
      <c r="AJ322" s="290"/>
      <c r="AK322" s="44">
        <v>9.3708</v>
      </c>
      <c r="AL322" s="44">
        <v>8.7228</v>
      </c>
      <c r="AM322" s="147">
        <f t="shared" si="87"/>
        <v>0.9808753709</v>
      </c>
      <c r="AT322" s="2"/>
      <c r="AU322" s="2"/>
      <c r="AV322" s="2"/>
      <c r="AW322" s="2"/>
      <c r="AX322" s="2"/>
      <c r="AY322" s="2"/>
      <c r="AZ322" s="2"/>
      <c r="BA322" s="2"/>
      <c r="BB322" s="2"/>
      <c r="BC322" s="2"/>
      <c r="BD322" s="2"/>
      <c r="BE322" s="2"/>
      <c r="BF322" s="2"/>
      <c r="BG322" s="2"/>
      <c r="BH322" s="2"/>
      <c r="BI322" s="2"/>
      <c r="BJ322" s="2"/>
      <c r="BK322" s="2"/>
      <c r="BL322" s="2"/>
    </row>
    <row r="323">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G323" s="7">
        <v>0.012</v>
      </c>
      <c r="AH323" s="2">
        <f t="shared" si="89"/>
        <v>9.3468</v>
      </c>
      <c r="AI323" s="290">
        <f t="shared" si="88"/>
        <v>8.6988</v>
      </c>
      <c r="AJ323" s="290"/>
      <c r="AK323" s="44">
        <v>9.5468</v>
      </c>
      <c r="AL323" s="44">
        <v>8.8988</v>
      </c>
      <c r="AM323" s="147">
        <f t="shared" si="87"/>
        <v>1.019460766</v>
      </c>
      <c r="AT323" s="2"/>
      <c r="AU323" s="2"/>
      <c r="AV323" s="2"/>
      <c r="AW323" s="2"/>
      <c r="AX323" s="2"/>
      <c r="AY323" s="2"/>
      <c r="AZ323" s="2"/>
      <c r="BA323" s="2"/>
      <c r="BB323" s="2"/>
      <c r="BC323" s="2"/>
      <c r="BD323" s="2"/>
      <c r="BE323" s="2"/>
      <c r="BF323" s="2"/>
      <c r="BG323" s="2"/>
      <c r="BH323" s="2"/>
      <c r="BI323" s="2"/>
      <c r="BJ323" s="2"/>
      <c r="BK323" s="2"/>
      <c r="BL323" s="2"/>
    </row>
    <row r="324">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G324" s="7">
        <v>0.366</v>
      </c>
      <c r="AH324" s="2">
        <f t="shared" si="89"/>
        <v>9.3228</v>
      </c>
      <c r="AI324" s="290">
        <f t="shared" si="88"/>
        <v>8.6748</v>
      </c>
      <c r="AJ324" s="290"/>
      <c r="AK324" s="44">
        <v>9.548</v>
      </c>
      <c r="AL324" s="44">
        <v>8.9</v>
      </c>
      <c r="AM324" s="147">
        <f t="shared" si="87"/>
        <v>31.1016552</v>
      </c>
      <c r="AT324" s="2"/>
      <c r="AU324" s="2"/>
      <c r="AV324" s="2"/>
      <c r="AW324" s="2"/>
      <c r="AX324" s="2"/>
      <c r="AY324" s="2"/>
      <c r="AZ324" s="2"/>
      <c r="BA324" s="2"/>
      <c r="BB324" s="2"/>
      <c r="BC324" s="2"/>
      <c r="BD324" s="2"/>
      <c r="BE324" s="2"/>
      <c r="BF324" s="2"/>
      <c r="BG324" s="2"/>
      <c r="BH324" s="2"/>
      <c r="BI324" s="2"/>
      <c r="BJ324" s="2"/>
      <c r="BK324" s="2"/>
      <c r="BL324" s="2"/>
    </row>
    <row r="3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G325" s="7">
        <v>0.012</v>
      </c>
      <c r="AH325" s="2">
        <f t="shared" si="89"/>
        <v>8.5908</v>
      </c>
      <c r="AI325" s="290">
        <f t="shared" si="88"/>
        <v>7.9428</v>
      </c>
      <c r="AJ325" s="290"/>
      <c r="AK325" s="44">
        <v>10.13</v>
      </c>
      <c r="AL325" s="44">
        <v>9.482</v>
      </c>
      <c r="AM325" s="147">
        <f t="shared" si="87"/>
        <v>1.15263192</v>
      </c>
      <c r="AT325" s="2"/>
      <c r="AU325" s="2"/>
      <c r="AV325" s="2"/>
      <c r="AW325" s="2"/>
      <c r="AX325" s="2"/>
      <c r="AY325" s="2"/>
      <c r="AZ325" s="2"/>
      <c r="BA325" s="2"/>
      <c r="BB325" s="2"/>
      <c r="BC325" s="2"/>
      <c r="BD325" s="2"/>
      <c r="BE325" s="2"/>
      <c r="BF325" s="2"/>
      <c r="BG325" s="2"/>
      <c r="BH325" s="2"/>
      <c r="BI325" s="2"/>
      <c r="BJ325" s="2"/>
      <c r="BK325" s="2"/>
      <c r="BL325" s="2"/>
    </row>
    <row r="326">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6"/>
      <c r="AF326" s="6"/>
      <c r="AG326" s="7">
        <v>0.0012</v>
      </c>
      <c r="AH326" s="2">
        <f t="shared" si="89"/>
        <v>8.5668</v>
      </c>
      <c r="AI326" s="290">
        <f t="shared" si="88"/>
        <v>7.9188</v>
      </c>
      <c r="AJ326" s="290"/>
      <c r="AK326" s="6">
        <v>10.148</v>
      </c>
      <c r="AL326" s="6">
        <v>9.5</v>
      </c>
      <c r="AM326" s="147">
        <f t="shared" si="87"/>
        <v>0.1156872</v>
      </c>
      <c r="AN326" s="6"/>
      <c r="AO326" s="6"/>
      <c r="AP326" s="6"/>
      <c r="AQ326" s="6"/>
      <c r="AR326" s="6"/>
      <c r="AS326" s="80"/>
      <c r="AT326" s="2"/>
      <c r="AU326" s="2"/>
      <c r="AV326" s="2"/>
      <c r="AW326" s="2"/>
      <c r="AX326" s="2"/>
      <c r="AY326" s="2"/>
      <c r="AZ326" s="2"/>
      <c r="BA326" s="2"/>
      <c r="BB326" s="2"/>
      <c r="BC326" s="2"/>
      <c r="BD326" s="2"/>
      <c r="BE326" s="2"/>
      <c r="BF326" s="2"/>
      <c r="BG326" s="2"/>
      <c r="BH326" s="2"/>
      <c r="BI326" s="2"/>
      <c r="BJ326" s="2"/>
      <c r="BK326" s="2"/>
      <c r="BL326" s="2"/>
    </row>
    <row r="327">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7"/>
      <c r="AF327" s="6"/>
      <c r="AG327" s="6"/>
      <c r="AH327" s="7"/>
      <c r="AI327" s="7"/>
      <c r="AJ327" s="7"/>
      <c r="AK327" s="7"/>
      <c r="AL327" s="7"/>
      <c r="AM327" s="7"/>
      <c r="AN327" s="7"/>
      <c r="AP327" s="7"/>
      <c r="AQ327" s="7"/>
      <c r="AR327" s="7"/>
      <c r="AT327" s="2"/>
      <c r="AU327" s="2"/>
      <c r="AV327" s="2"/>
      <c r="AW327" s="2"/>
      <c r="AX327" s="2"/>
      <c r="AY327" s="2"/>
      <c r="AZ327" s="2"/>
      <c r="BA327" s="2"/>
      <c r="BB327" s="2"/>
      <c r="BC327" s="2"/>
      <c r="BD327" s="2"/>
      <c r="BE327" s="2"/>
      <c r="BF327" s="2"/>
      <c r="BG327" s="2"/>
      <c r="BH327" s="2"/>
      <c r="BI327" s="2"/>
      <c r="BJ327" s="2"/>
      <c r="BK327" s="2"/>
      <c r="BL327" s="2"/>
    </row>
    <row r="328">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79"/>
      <c r="AT328" s="2"/>
      <c r="AU328" s="2"/>
      <c r="AV328" s="2"/>
      <c r="AW328" s="2"/>
      <c r="AX328" s="2"/>
      <c r="AY328" s="2"/>
      <c r="AZ328" s="2"/>
      <c r="BA328" s="2"/>
      <c r="BB328" s="2"/>
      <c r="BC328" s="2"/>
      <c r="BD328" s="2"/>
      <c r="BE328" s="2"/>
      <c r="BF328" s="2"/>
      <c r="BG328" s="2"/>
      <c r="BH328" s="2"/>
      <c r="BI328" s="2"/>
      <c r="BJ328" s="2"/>
      <c r="BK328" s="2"/>
      <c r="BL328" s="2"/>
    </row>
    <row r="329">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6"/>
      <c r="AF329" s="6"/>
      <c r="AG329" s="6"/>
      <c r="AH329" s="6"/>
      <c r="AI329" s="6"/>
      <c r="AJ329" s="6"/>
      <c r="AK329" s="6"/>
      <c r="AL329" s="6"/>
      <c r="AM329" s="6"/>
      <c r="AN329" s="6"/>
      <c r="AO329" s="6"/>
      <c r="AP329" s="6"/>
      <c r="AQ329" s="6"/>
      <c r="AR329" s="6"/>
      <c r="AS329" s="134"/>
      <c r="AT329" s="2"/>
      <c r="AU329" s="2"/>
      <c r="AV329" s="2"/>
      <c r="AW329" s="2"/>
      <c r="AX329" s="2"/>
      <c r="AY329" s="2"/>
      <c r="AZ329" s="2"/>
      <c r="BA329" s="2"/>
      <c r="BB329" s="2"/>
      <c r="BC329" s="2"/>
      <c r="BD329" s="2"/>
      <c r="BE329" s="2"/>
      <c r="BF329" s="2"/>
      <c r="BG329" s="2"/>
      <c r="BH329" s="2"/>
      <c r="BI329" s="2"/>
      <c r="BJ329" s="2"/>
      <c r="BK329" s="2"/>
      <c r="BL329" s="2"/>
    </row>
    <row r="330">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row>
    <row r="33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32"/>
      <c r="AF331" s="32"/>
      <c r="AG331" s="32"/>
      <c r="AH331" s="32"/>
      <c r="AI331" s="32"/>
      <c r="AJ331" s="32"/>
      <c r="AK331" s="32"/>
      <c r="AL331" s="32"/>
      <c r="AM331" s="32"/>
      <c r="AN331" s="32"/>
      <c r="AO331" s="7"/>
      <c r="AP331" s="32"/>
      <c r="AQ331" s="32"/>
      <c r="AR331" s="32"/>
      <c r="AS331" s="2"/>
      <c r="AT331" s="2"/>
      <c r="AU331" s="2"/>
      <c r="AV331" s="2"/>
      <c r="AW331" s="2"/>
      <c r="AX331" s="2"/>
      <c r="AY331" s="2"/>
      <c r="AZ331" s="2"/>
      <c r="BA331" s="2"/>
      <c r="BB331" s="2"/>
      <c r="BC331" s="2"/>
      <c r="BD331" s="2"/>
      <c r="BE331" s="2"/>
      <c r="BF331" s="2"/>
      <c r="BG331" s="2"/>
      <c r="BH331" s="2"/>
      <c r="BI331" s="2"/>
      <c r="BJ331" s="2"/>
      <c r="BK331" s="2"/>
      <c r="BL331" s="2"/>
    </row>
    <row r="332">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7"/>
      <c r="AF332" s="7"/>
      <c r="AG332" s="7"/>
      <c r="AH332" s="7"/>
      <c r="AI332" s="7"/>
      <c r="AJ332" s="7"/>
      <c r="AK332" s="7"/>
      <c r="AL332" s="7"/>
      <c r="AM332" s="7"/>
      <c r="AN332" s="7"/>
      <c r="AO332" s="7"/>
      <c r="AP332" s="7"/>
      <c r="AQ332" s="7"/>
      <c r="AR332" s="7"/>
      <c r="AS332" s="79"/>
      <c r="AT332" s="2"/>
      <c r="AU332" s="2"/>
      <c r="AV332" s="2"/>
      <c r="AW332" s="2"/>
      <c r="AX332" s="2"/>
      <c r="AY332" s="2"/>
      <c r="AZ332" s="2"/>
      <c r="BA332" s="2"/>
      <c r="BB332" s="2"/>
      <c r="BC332" s="2"/>
      <c r="BD332" s="2"/>
      <c r="BE332" s="2"/>
      <c r="BF332" s="2"/>
      <c r="BG332" s="2"/>
      <c r="BH332" s="2"/>
      <c r="BI332" s="2"/>
      <c r="BJ332" s="2"/>
      <c r="BK332" s="2"/>
      <c r="BL332" s="2"/>
    </row>
    <row r="333">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301"/>
      <c r="AG333" s="2"/>
      <c r="AH333" s="293"/>
      <c r="AI333" s="293"/>
      <c r="AJ333" s="293"/>
      <c r="AK333" s="293"/>
      <c r="AL333" s="293"/>
      <c r="AM333" s="293"/>
      <c r="AN333" s="293"/>
      <c r="AO333" s="293"/>
      <c r="AP333" s="293"/>
      <c r="AQ333" s="293"/>
      <c r="AR333" s="293"/>
      <c r="AS333" s="2"/>
      <c r="AT333" s="2"/>
      <c r="AU333" s="2"/>
      <c r="AV333" s="2"/>
      <c r="AW333" s="2"/>
      <c r="AX333" s="2"/>
      <c r="AY333" s="2"/>
      <c r="AZ333" s="2"/>
      <c r="BA333" s="2"/>
      <c r="BB333" s="2"/>
      <c r="BC333" s="2"/>
      <c r="BD333" s="2"/>
      <c r="BE333" s="2"/>
      <c r="BF333" s="2"/>
      <c r="BG333" s="2"/>
      <c r="BH333" s="2"/>
      <c r="BI333" s="2"/>
      <c r="BJ333" s="2"/>
      <c r="BK333" s="2"/>
      <c r="BL333" s="2"/>
    </row>
    <row r="334">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row>
    <row r="3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row>
    <row r="336">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row>
    <row r="337">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row>
    <row r="338">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row>
    <row r="339">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F339" s="2"/>
      <c r="AG339" s="2"/>
      <c r="AH339" s="2"/>
      <c r="AI339" s="2"/>
      <c r="AJ339" s="2"/>
      <c r="AK339" s="2"/>
      <c r="AL339" s="2"/>
      <c r="AM339" s="2"/>
      <c r="AN339" s="2"/>
      <c r="AO339" s="2"/>
      <c r="AP339" s="2"/>
      <c r="AQ339" s="2"/>
      <c r="AR339" s="2"/>
      <c r="AS339" s="2"/>
      <c r="AT339" s="2"/>
      <c r="AU339" s="2"/>
      <c r="AV339" s="7" t="s">
        <v>294</v>
      </c>
      <c r="AW339" s="2"/>
      <c r="AX339" s="2"/>
      <c r="AY339" s="2"/>
      <c r="AZ339" s="2"/>
      <c r="BA339" s="2"/>
      <c r="BB339" s="2"/>
      <c r="BC339" s="2"/>
      <c r="BD339" s="2"/>
      <c r="BE339" s="2"/>
      <c r="BF339" s="2"/>
      <c r="BG339" s="2"/>
      <c r="BH339" s="2"/>
      <c r="BI339" s="2"/>
      <c r="BJ339" s="2"/>
      <c r="BK339" s="2"/>
      <c r="BL339" s="2"/>
    </row>
    <row r="340">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40" t="s">
        <v>295</v>
      </c>
      <c r="AF340" s="128"/>
      <c r="AG340" s="36" t="s">
        <v>137</v>
      </c>
      <c r="AH340" s="36" t="s">
        <v>296</v>
      </c>
      <c r="AI340" s="36" t="s">
        <v>297</v>
      </c>
      <c r="AJ340" s="36"/>
      <c r="AK340" s="36"/>
      <c r="AL340" s="36"/>
      <c r="AM340" s="36" t="s">
        <v>298</v>
      </c>
      <c r="AN340" s="36" t="s">
        <v>299</v>
      </c>
      <c r="AO340" s="36" t="s">
        <v>300</v>
      </c>
      <c r="AP340" s="36" t="s">
        <v>301</v>
      </c>
      <c r="AQ340" s="36"/>
      <c r="AR340" s="36" t="s">
        <v>302</v>
      </c>
      <c r="AS340" s="36" t="s">
        <v>303</v>
      </c>
      <c r="AT340" s="36" t="s">
        <v>304</v>
      </c>
      <c r="AU340" s="302" t="s">
        <v>118</v>
      </c>
      <c r="AV340" s="2"/>
      <c r="AW340" s="2"/>
      <c r="AX340" s="2"/>
      <c r="AY340" s="2"/>
      <c r="AZ340" s="2"/>
      <c r="BA340" s="2"/>
      <c r="BB340" s="2"/>
      <c r="BC340" s="2"/>
      <c r="BD340" s="2"/>
      <c r="BE340" s="2"/>
      <c r="BF340" s="2"/>
      <c r="BG340" s="2"/>
      <c r="BH340" s="2"/>
      <c r="BI340" s="2"/>
      <c r="BJ340" s="2"/>
      <c r="BK340" s="2"/>
      <c r="BL340" s="2"/>
    </row>
    <row r="34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78"/>
      <c r="AG341" s="2"/>
      <c r="AH341" s="2"/>
      <c r="AI341" s="2"/>
      <c r="AJ341" s="2"/>
      <c r="AK341" s="2"/>
      <c r="AL341" s="2"/>
      <c r="AM341" s="2"/>
      <c r="AN341" s="2"/>
      <c r="AO341" s="2"/>
      <c r="AP341" s="2"/>
      <c r="AQ341" s="2"/>
      <c r="AR341" s="2"/>
      <c r="AS341" s="2"/>
      <c r="AT341" s="2"/>
      <c r="AU341" s="303"/>
      <c r="AV341" s="2"/>
      <c r="AW341" s="2"/>
      <c r="AX341" s="2"/>
      <c r="AY341" s="2"/>
      <c r="AZ341" s="2"/>
      <c r="BA341" s="2"/>
      <c r="BB341" s="2"/>
      <c r="BC341" s="2"/>
      <c r="BD341" s="2"/>
      <c r="BE341" s="2"/>
      <c r="BF341" s="2"/>
      <c r="BG341" s="2"/>
      <c r="BH341" s="2"/>
      <c r="BI341" s="2"/>
      <c r="BJ341" s="2"/>
      <c r="BK341" s="2"/>
      <c r="BL341" s="2"/>
    </row>
    <row r="342">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172" t="s">
        <v>305</v>
      </c>
      <c r="AG342" s="32">
        <v>0.0012</v>
      </c>
      <c r="AH342" s="32">
        <v>0.012</v>
      </c>
      <c r="AI342" s="32">
        <v>0.366</v>
      </c>
      <c r="AJ342" s="32"/>
      <c r="AK342" s="32"/>
      <c r="AL342" s="32"/>
      <c r="AM342" s="32">
        <v>0.012</v>
      </c>
      <c r="AN342" s="32">
        <v>0.012</v>
      </c>
      <c r="AO342" s="32">
        <v>0.088</v>
      </c>
      <c r="AP342" s="32">
        <v>6.0E-4</v>
      </c>
      <c r="AQ342" s="32"/>
      <c r="AR342" s="7"/>
      <c r="AS342" s="32">
        <v>0.291</v>
      </c>
      <c r="AT342" s="32">
        <v>0.009</v>
      </c>
      <c r="AU342" s="70">
        <v>0.802</v>
      </c>
      <c r="AV342" s="2">
        <f>SUM(AG342:AT342)</f>
        <v>0.7918</v>
      </c>
      <c r="AW342" s="2"/>
      <c r="AX342" s="2"/>
      <c r="AY342" s="2"/>
      <c r="AZ342" s="2"/>
      <c r="BA342" s="2"/>
      <c r="BB342" s="2"/>
      <c r="BC342" s="2"/>
      <c r="BD342" s="2"/>
      <c r="BE342" s="2"/>
      <c r="BF342" s="2"/>
      <c r="BG342" s="2"/>
      <c r="BH342" s="2"/>
      <c r="BI342" s="2"/>
      <c r="BJ342" s="2"/>
      <c r="BK342" s="2"/>
      <c r="BL342" s="2"/>
    </row>
    <row r="343">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61" t="s">
        <v>146</v>
      </c>
      <c r="AG343" s="7">
        <v>0.537</v>
      </c>
      <c r="AH343" s="7">
        <v>4.144</v>
      </c>
      <c r="AI343" s="7">
        <v>140.5</v>
      </c>
      <c r="AJ343" s="7"/>
      <c r="AK343" s="7"/>
      <c r="AL343" s="7"/>
      <c r="AM343" s="7">
        <v>5.072</v>
      </c>
      <c r="AN343" s="7">
        <v>5.101</v>
      </c>
      <c r="AO343" s="7">
        <v>38.32</v>
      </c>
      <c r="AP343" s="7">
        <v>0.262</v>
      </c>
      <c r="AQ343" s="7"/>
      <c r="AR343" s="7"/>
      <c r="AS343" s="7">
        <v>138.5</v>
      </c>
      <c r="AT343" s="7">
        <v>4.577</v>
      </c>
      <c r="AU343" s="303">
        <v>57.3</v>
      </c>
      <c r="AV343" s="2">
        <f>SUM(AG343:AU343)</f>
        <v>394.313</v>
      </c>
      <c r="AW343" s="2"/>
      <c r="AX343" s="2"/>
      <c r="AY343" s="2"/>
      <c r="AZ343" s="2"/>
      <c r="BA343" s="2"/>
      <c r="BB343" s="2"/>
      <c r="BC343" s="2"/>
      <c r="BD343" s="2"/>
      <c r="BE343" s="2"/>
      <c r="BF343" s="2"/>
      <c r="BG343" s="2"/>
      <c r="BH343" s="2"/>
      <c r="BI343" s="2"/>
      <c r="BJ343" s="2"/>
      <c r="BK343" s="2"/>
      <c r="BL343" s="2"/>
    </row>
    <row r="344">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69" t="s">
        <v>306</v>
      </c>
      <c r="AG344" s="7">
        <v>7820.0</v>
      </c>
      <c r="AH344" s="7">
        <v>650.0</v>
      </c>
      <c r="AI344" s="7">
        <v>88.0</v>
      </c>
      <c r="AJ344" s="7"/>
      <c r="AK344" s="7"/>
      <c r="AL344" s="7"/>
      <c r="AM344" s="7">
        <v>650.0</v>
      </c>
      <c r="AN344" s="7">
        <v>650.0</v>
      </c>
      <c r="AO344" s="7">
        <v>88.0</v>
      </c>
      <c r="AP344" s="7">
        <v>1330.0</v>
      </c>
      <c r="AQ344" s="7"/>
      <c r="AR344" s="2"/>
      <c r="AS344" s="7">
        <v>88.0</v>
      </c>
      <c r="AT344" s="7">
        <v>650.0</v>
      </c>
      <c r="AU344" s="70"/>
      <c r="AV344" s="2"/>
      <c r="AW344" s="2"/>
      <c r="AX344" s="2"/>
      <c r="AY344" s="2"/>
      <c r="AZ344" s="2"/>
      <c r="BA344" s="2"/>
      <c r="BB344" s="2"/>
      <c r="BC344" s="2"/>
      <c r="BD344" s="2"/>
      <c r="BE344" s="2"/>
      <c r="BF344" s="2"/>
      <c r="BG344" s="2"/>
      <c r="BH344" s="2"/>
      <c r="BI344" s="2"/>
      <c r="BJ344" s="2"/>
      <c r="BK344" s="2"/>
      <c r="BL344" s="2"/>
    </row>
    <row r="34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101" t="s">
        <v>155</v>
      </c>
      <c r="AF345" s="106"/>
      <c r="AG345" s="113">
        <f t="shared" ref="AG345:AI345" si="90">AG343*AG344</f>
        <v>4199.34</v>
      </c>
      <c r="AH345" s="113">
        <f t="shared" si="90"/>
        <v>2693.6</v>
      </c>
      <c r="AI345" s="113">
        <f t="shared" si="90"/>
        <v>12364</v>
      </c>
      <c r="AJ345" s="113"/>
      <c r="AK345" s="113"/>
      <c r="AL345" s="113"/>
      <c r="AM345" s="113">
        <f t="shared" ref="AM345:AP345" si="91">AM343*AM344</f>
        <v>3296.8</v>
      </c>
      <c r="AN345" s="113">
        <f t="shared" si="91"/>
        <v>3315.65</v>
      </c>
      <c r="AO345" s="113">
        <f t="shared" si="91"/>
        <v>3372.16</v>
      </c>
      <c r="AP345" s="113">
        <f t="shared" si="91"/>
        <v>348.46</v>
      </c>
      <c r="AQ345" s="113"/>
      <c r="AR345" s="113"/>
      <c r="AS345" s="113">
        <f t="shared" ref="AS345:AT345" si="92">AS344*AS343</f>
        <v>12188</v>
      </c>
      <c r="AT345" s="113">
        <f t="shared" si="92"/>
        <v>2975.05</v>
      </c>
      <c r="AU345" s="304">
        <v>4626.0</v>
      </c>
      <c r="AV345" s="2">
        <f>SUM(AG345:AU345)</f>
        <v>49379.06</v>
      </c>
      <c r="AW345" s="2">
        <f>AV345/1000</f>
        <v>49.37906</v>
      </c>
      <c r="AX345" s="2"/>
      <c r="AY345" s="2"/>
      <c r="AZ345" s="2"/>
      <c r="BA345" s="2"/>
      <c r="BB345" s="2"/>
      <c r="BC345" s="2"/>
      <c r="BD345" s="2"/>
      <c r="BE345" s="2"/>
      <c r="BF345" s="2"/>
      <c r="BG345" s="2"/>
      <c r="BH345" s="2"/>
      <c r="BI345" s="2"/>
      <c r="BJ345" s="2"/>
      <c r="BK345" s="2"/>
      <c r="BL345" s="2"/>
    </row>
    <row r="346">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G346" s="2"/>
      <c r="AH346" s="2"/>
      <c r="AI346" s="2"/>
      <c r="AJ346" s="2"/>
      <c r="AK346" s="2"/>
      <c r="AL346" s="2"/>
      <c r="AM346" s="2"/>
      <c r="AN346" s="2"/>
      <c r="AO346" s="2"/>
      <c r="AP346" s="2"/>
      <c r="AQ346" s="2"/>
      <c r="AR346" s="7"/>
      <c r="AS346" s="2"/>
      <c r="AT346" s="2"/>
      <c r="AU346" s="2"/>
      <c r="AV346" s="2"/>
      <c r="AW346" s="2"/>
      <c r="AX346" s="2"/>
      <c r="AY346" s="2"/>
      <c r="AZ346" s="2"/>
      <c r="BA346" s="2"/>
      <c r="BB346" s="2"/>
      <c r="BC346" s="2"/>
      <c r="BD346" s="2"/>
      <c r="BE346" s="2"/>
      <c r="BF346" s="2"/>
      <c r="BG346" s="2"/>
      <c r="BH346" s="2"/>
      <c r="BI346" s="2"/>
      <c r="BJ346" s="2"/>
      <c r="BK346" s="2"/>
      <c r="BL346" s="2"/>
    </row>
    <row r="347">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row>
    <row r="348">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row>
    <row r="349">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row>
    <row r="350">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40" t="s">
        <v>295</v>
      </c>
      <c r="AF350" s="128"/>
      <c r="AG350" s="36" t="s">
        <v>137</v>
      </c>
      <c r="AH350" s="36" t="s">
        <v>296</v>
      </c>
      <c r="AI350" s="36" t="s">
        <v>297</v>
      </c>
      <c r="AJ350" s="36"/>
      <c r="AK350" s="36"/>
      <c r="AL350" s="36"/>
      <c r="AM350" s="36" t="s">
        <v>298</v>
      </c>
      <c r="AN350" s="36" t="s">
        <v>299</v>
      </c>
      <c r="AO350" s="36" t="s">
        <v>300</v>
      </c>
      <c r="AP350" s="36" t="s">
        <v>301</v>
      </c>
      <c r="AQ350" s="36"/>
      <c r="AR350" s="36" t="s">
        <v>302</v>
      </c>
      <c r="AS350" s="36" t="s">
        <v>303</v>
      </c>
      <c r="AT350" s="36" t="s">
        <v>304</v>
      </c>
      <c r="AU350" s="302" t="s">
        <v>118</v>
      </c>
      <c r="AV350" s="2"/>
      <c r="AW350" s="2"/>
      <c r="AX350" s="2"/>
      <c r="AY350" s="2"/>
      <c r="AZ350" s="2"/>
      <c r="BA350" s="2"/>
      <c r="BB350" s="2"/>
      <c r="BC350" s="2"/>
      <c r="BD350" s="2"/>
      <c r="BE350" s="2"/>
      <c r="BF350" s="2"/>
      <c r="BG350" s="2"/>
      <c r="BH350" s="2"/>
      <c r="BI350" s="2"/>
      <c r="BJ350" s="2"/>
      <c r="BK350" s="2"/>
      <c r="BL350" s="2"/>
    </row>
    <row r="35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78"/>
      <c r="AG351" s="2"/>
      <c r="AH351" s="2"/>
      <c r="AI351" s="2"/>
      <c r="AJ351" s="2"/>
      <c r="AK351" s="2"/>
      <c r="AL351" s="2"/>
      <c r="AM351" s="2"/>
      <c r="AN351" s="2"/>
      <c r="AO351" s="2"/>
      <c r="AP351" s="2"/>
      <c r="AQ351" s="2"/>
      <c r="AR351" s="2"/>
      <c r="AS351" s="2"/>
      <c r="AT351" s="2"/>
      <c r="AU351" s="303"/>
      <c r="AV351" s="2"/>
      <c r="AW351" s="2"/>
      <c r="AX351" s="2"/>
      <c r="AY351" s="2"/>
      <c r="AZ351" s="2"/>
      <c r="BA351" s="2"/>
      <c r="BB351" s="2"/>
      <c r="BC351" s="2"/>
      <c r="BD351" s="2"/>
      <c r="BE351" s="2"/>
      <c r="BF351" s="2"/>
      <c r="BG351" s="2"/>
      <c r="BH351" s="2"/>
      <c r="BI351" s="2"/>
      <c r="BJ351" s="2"/>
      <c r="BK351" s="2"/>
      <c r="BL351" s="2"/>
    </row>
    <row r="352">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172" t="s">
        <v>305</v>
      </c>
      <c r="AG352" s="32">
        <v>0.0012</v>
      </c>
      <c r="AH352" s="32">
        <v>0.012</v>
      </c>
      <c r="AI352" s="32">
        <v>0.366</v>
      </c>
      <c r="AJ352" s="32"/>
      <c r="AK352" s="32"/>
      <c r="AL352" s="32"/>
      <c r="AM352" s="32">
        <v>0.012</v>
      </c>
      <c r="AN352" s="32">
        <v>0.012</v>
      </c>
      <c r="AO352" s="32">
        <v>0.088</v>
      </c>
      <c r="AP352" s="32">
        <v>6.0E-4</v>
      </c>
      <c r="AQ352" s="32"/>
      <c r="AR352" s="7"/>
      <c r="AS352" s="32">
        <v>0.291</v>
      </c>
      <c r="AT352" s="32">
        <v>0.009</v>
      </c>
      <c r="AU352" s="70">
        <v>0.802</v>
      </c>
      <c r="AV352" s="2">
        <f>SUM(AG352:AT352)</f>
        <v>0.7918</v>
      </c>
      <c r="AW352" s="2"/>
      <c r="AX352" s="2"/>
      <c r="AY352" s="2"/>
      <c r="AZ352" s="2"/>
      <c r="BA352" s="2"/>
      <c r="BB352" s="2"/>
      <c r="BC352" s="2"/>
      <c r="BD352" s="2"/>
      <c r="BE352" s="2"/>
      <c r="BF352" s="2"/>
      <c r="BG352" s="2"/>
      <c r="BH352" s="2"/>
      <c r="BI352" s="2"/>
      <c r="BJ352" s="2"/>
      <c r="BK352" s="2"/>
      <c r="BL352" s="2"/>
    </row>
    <row r="353">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61" t="s">
        <v>307</v>
      </c>
      <c r="AG353" s="2">
        <v>4.397453135999999</v>
      </c>
      <c r="AH353" s="2">
        <v>141.71280028799998</v>
      </c>
      <c r="AI353" s="2">
        <v>0.2619299020799999</v>
      </c>
      <c r="AJ353" s="2"/>
      <c r="AK353" s="2"/>
      <c r="AL353" s="2"/>
      <c r="AM353" s="2">
        <v>37.79255820031998</v>
      </c>
      <c r="AN353" s="2">
        <v>4.976659457279998</v>
      </c>
      <c r="AO353" s="2">
        <v>4.950454106879999</v>
      </c>
      <c r="AP353" s="2">
        <v>149.67304922303998</v>
      </c>
      <c r="AQ353" s="2"/>
      <c r="AR353" s="7"/>
      <c r="AS353" s="2">
        <v>4.22003462976</v>
      </c>
      <c r="AT353" s="2">
        <v>0.413854569216</v>
      </c>
      <c r="AU353" s="303">
        <v>57.3</v>
      </c>
      <c r="AV353" s="2">
        <f>SUM(AG353:AT353)+AU353</f>
        <v>405.6987935</v>
      </c>
      <c r="AW353" s="2"/>
      <c r="AX353" s="2"/>
      <c r="AY353" s="2"/>
      <c r="AZ353" s="2"/>
      <c r="BA353" s="2"/>
      <c r="BB353" s="2"/>
      <c r="BC353" s="2"/>
      <c r="BD353" s="2"/>
      <c r="BE353" s="2"/>
      <c r="BF353" s="2"/>
      <c r="BG353" s="2"/>
      <c r="BH353" s="2"/>
      <c r="BI353" s="2"/>
      <c r="BJ353" s="2"/>
      <c r="BK353" s="2"/>
      <c r="BL353" s="2"/>
    </row>
    <row r="354">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69" t="s">
        <v>306</v>
      </c>
      <c r="AG354" s="7">
        <v>7820.0</v>
      </c>
      <c r="AH354" s="7">
        <v>650.0</v>
      </c>
      <c r="AI354" s="7">
        <v>88.0</v>
      </c>
      <c r="AJ354" s="7"/>
      <c r="AK354" s="7"/>
      <c r="AL354" s="7"/>
      <c r="AM354" s="7">
        <v>650.0</v>
      </c>
      <c r="AN354" s="7">
        <v>650.0</v>
      </c>
      <c r="AO354" s="7">
        <v>88.0</v>
      </c>
      <c r="AP354" s="7">
        <v>1330.0</v>
      </c>
      <c r="AQ354" s="7"/>
      <c r="AR354" s="2"/>
      <c r="AS354" s="7">
        <v>88.0</v>
      </c>
      <c r="AT354" s="7">
        <v>650.0</v>
      </c>
      <c r="AU354" s="70"/>
      <c r="AV354" s="2"/>
      <c r="AW354" s="2"/>
      <c r="AX354" s="2"/>
      <c r="AY354" s="2"/>
      <c r="AZ354" s="2"/>
      <c r="BA354" s="2"/>
      <c r="BB354" s="2"/>
      <c r="BC354" s="2"/>
      <c r="BD354" s="2"/>
      <c r="BE354" s="2"/>
      <c r="BF354" s="2"/>
      <c r="BG354" s="2"/>
      <c r="BH354" s="2"/>
      <c r="BI354" s="2"/>
      <c r="BJ354" s="2"/>
      <c r="BK354" s="2"/>
      <c r="BL354" s="2"/>
    </row>
    <row r="35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101" t="s">
        <v>308</v>
      </c>
      <c r="AF355" s="106"/>
      <c r="AG355" s="113">
        <f t="shared" ref="AG355:AI355" si="93">AG354*AG353</f>
        <v>34388.08352</v>
      </c>
      <c r="AH355" s="113">
        <f t="shared" si="93"/>
        <v>92113.32019</v>
      </c>
      <c r="AI355" s="113">
        <f t="shared" si="93"/>
        <v>23.04983138</v>
      </c>
      <c r="AJ355" s="113"/>
      <c r="AK355" s="113"/>
      <c r="AL355" s="113"/>
      <c r="AM355" s="113">
        <f t="shared" ref="AM355:AP355" si="94">AM354*AM353</f>
        <v>24565.16283</v>
      </c>
      <c r="AN355" s="113">
        <f t="shared" si="94"/>
        <v>3234.828647</v>
      </c>
      <c r="AO355" s="113">
        <f t="shared" si="94"/>
        <v>435.6399614</v>
      </c>
      <c r="AP355" s="113">
        <f t="shared" si="94"/>
        <v>199065.1555</v>
      </c>
      <c r="AQ355" s="113"/>
      <c r="AR355" s="113"/>
      <c r="AS355" s="113">
        <f t="shared" ref="AS355:AT355" si="95">AS354*AS353</f>
        <v>371.3630474</v>
      </c>
      <c r="AT355" s="113">
        <f t="shared" si="95"/>
        <v>269.00547</v>
      </c>
      <c r="AU355" s="304">
        <v>4626.0</v>
      </c>
      <c r="AV355" s="2">
        <f>SUM(AF355:AU355)</f>
        <v>359091.609</v>
      </c>
      <c r="AW355" s="2">
        <f>AV355/1000</f>
        <v>359.091609</v>
      </c>
      <c r="AX355" s="2"/>
      <c r="AY355" s="2"/>
      <c r="AZ355" s="2"/>
      <c r="BA355" s="2"/>
      <c r="BB355" s="2"/>
      <c r="BC355" s="2"/>
      <c r="BD355" s="2"/>
      <c r="BE355" s="2"/>
      <c r="BF355" s="2"/>
      <c r="BG355" s="2"/>
      <c r="BH355" s="2"/>
      <c r="BI355" s="2"/>
      <c r="BJ355" s="2"/>
      <c r="BK355" s="2"/>
      <c r="BL355" s="2"/>
    </row>
    <row r="356">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row>
    <row r="357">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row>
    <row r="358">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row>
    <row r="359">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row>
    <row r="360">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row>
    <row r="36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row>
    <row r="362">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row>
    <row r="363">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row>
    <row r="364">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row>
    <row r="36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row>
    <row r="366">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row>
    <row r="367">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row>
    <row r="368">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row>
    <row r="369">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row>
    <row r="370">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H370" s="2"/>
      <c r="AI370" s="2"/>
      <c r="AJ370" s="2"/>
      <c r="AK370" s="2"/>
      <c r="AL370" s="2"/>
      <c r="AM370" s="2"/>
      <c r="AN370" s="2"/>
      <c r="AO370" s="2"/>
      <c r="AP370" s="2"/>
      <c r="AQ370" s="2"/>
      <c r="AR370" s="2"/>
      <c r="AU370" s="2"/>
      <c r="AV370" s="2"/>
      <c r="AW370" s="2"/>
      <c r="AX370" s="2"/>
      <c r="AY370" s="2"/>
      <c r="AZ370" s="2"/>
      <c r="BA370" s="2"/>
      <c r="BB370" s="2"/>
      <c r="BC370" s="2"/>
      <c r="BD370" s="2"/>
      <c r="BE370" s="2"/>
      <c r="BF370" s="2"/>
      <c r="BG370" s="2"/>
      <c r="BH370" s="2"/>
      <c r="BI370" s="2"/>
      <c r="BJ370" s="2"/>
      <c r="BK370" s="2"/>
      <c r="BL370" s="2"/>
    </row>
    <row r="37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H371" s="2"/>
      <c r="AI371" s="2"/>
      <c r="AJ371" s="2"/>
      <c r="AK371" s="2"/>
      <c r="AL371" s="2"/>
      <c r="AM371" s="2"/>
      <c r="AN371" s="2"/>
      <c r="AO371" s="2"/>
      <c r="AP371" s="7"/>
      <c r="AQ371" s="7"/>
      <c r="AR371" s="7"/>
      <c r="AS371" s="2"/>
      <c r="AT371" s="2"/>
      <c r="AU371" s="7"/>
      <c r="AV371" s="2"/>
      <c r="AW371" s="2"/>
      <c r="AX371" s="2"/>
      <c r="AY371" s="2"/>
      <c r="AZ371" s="2"/>
      <c r="BA371" s="2"/>
      <c r="BB371" s="2"/>
      <c r="BC371" s="2"/>
      <c r="BD371" s="2"/>
      <c r="BE371" s="2"/>
      <c r="BF371" s="2"/>
      <c r="BG371" s="2"/>
      <c r="BH371" s="2"/>
      <c r="BI371" s="2"/>
      <c r="BJ371" s="2"/>
      <c r="BK371" s="2"/>
      <c r="BL371" s="2"/>
    </row>
    <row r="372">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row>
    <row r="373">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row>
    <row r="374">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row>
    <row r="37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row>
    <row r="376">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row>
    <row r="377">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row>
    <row r="378">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row>
    <row r="379">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row>
    <row r="380">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row>
    <row r="38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row>
    <row r="382">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row>
    <row r="383">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row>
    <row r="384">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row>
    <row r="38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row>
    <row r="386">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row>
    <row r="387">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row>
    <row r="388">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row>
    <row r="389">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row>
    <row r="390">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row>
    <row r="39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row>
    <row r="392">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row>
    <row r="393">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row>
    <row r="394">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row>
    <row r="39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row>
    <row r="396">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row>
    <row r="397">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row>
    <row r="398">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row>
    <row r="399">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row>
    <row r="400">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row>
    <row r="40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row>
    <row r="402">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row>
    <row r="403">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row>
    <row r="404">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row>
    <row r="40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row>
    <row r="406">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row>
    <row r="407">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row>
    <row r="408">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row>
    <row r="409">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row>
    <row r="410">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row>
    <row r="41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row>
    <row r="412">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row>
    <row r="413">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row>
    <row r="414">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row>
    <row r="41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row>
    <row r="416">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row>
    <row r="417">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row>
    <row r="418">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row>
    <row r="419">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row>
    <row r="420">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row>
    <row r="42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row>
    <row r="422">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row>
    <row r="423">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row>
    <row r="424">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row>
    <row r="4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row>
    <row r="426">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row>
    <row r="427">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row>
    <row r="428">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row>
    <row r="429">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row>
    <row r="430">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row>
    <row r="43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row>
    <row r="432">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row>
    <row r="433">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row>
    <row r="434">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row>
    <row r="4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row>
    <row r="436">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row>
    <row r="437">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row>
    <row r="438">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row>
    <row r="439">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row>
    <row r="440">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row>
    <row r="44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row>
    <row r="442">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row>
    <row r="443">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row>
    <row r="444">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row>
    <row r="44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row>
    <row r="446">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row>
    <row r="447">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row>
    <row r="448">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row>
    <row r="449">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row>
    <row r="450">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row>
    <row r="45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row>
    <row r="452">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row>
    <row r="453">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row>
    <row r="454">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row>
    <row r="45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row>
    <row r="456">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row>
    <row r="457">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row>
    <row r="458">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row>
    <row r="459">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row>
    <row r="460">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row>
    <row r="46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row>
    <row r="462">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row>
    <row r="463">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row>
    <row r="464">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row>
    <row r="46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row>
    <row r="466">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row>
    <row r="467">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row>
    <row r="468">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row>
    <row r="469">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row>
    <row r="470">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row>
    <row r="47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row>
    <row r="472">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row>
    <row r="473">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row>
    <row r="474">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row>
    <row r="47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row>
    <row r="476">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row>
    <row r="477">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row>
    <row r="478">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row>
    <row r="479">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row>
    <row r="480">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row>
    <row r="48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row>
    <row r="482">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row>
    <row r="483">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row>
    <row r="484">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row>
    <row r="48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row>
    <row r="486">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row>
    <row r="487">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row>
    <row r="488">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row>
    <row r="489">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row>
    <row r="490">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row>
    <row r="49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row>
    <row r="492">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row>
    <row r="493">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row>
    <row r="494">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row>
    <row r="49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row>
    <row r="496">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row>
    <row r="497">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row>
    <row r="498">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row>
    <row r="499">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row>
    <row r="500">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row>
    <row r="50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row>
    <row r="502">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row>
    <row r="503">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row>
    <row r="504">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row>
    <row r="50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row>
    <row r="506">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row>
    <row r="507">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row>
    <row r="508">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row>
    <row r="509">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row>
    <row r="510">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row>
    <row r="51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row>
    <row r="512">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row>
    <row r="513">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row>
    <row r="514">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row>
    <row r="51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row>
    <row r="516">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row>
    <row r="517">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row>
    <row r="518">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row>
    <row r="519">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row>
    <row r="520">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row>
    <row r="52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row>
    <row r="522">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row>
    <row r="523">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row>
    <row r="524">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row>
    <row r="5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row>
    <row r="526">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row>
    <row r="527">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row>
    <row r="528">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row>
    <row r="529">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row>
    <row r="530">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row>
    <row r="53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row>
    <row r="532">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row>
    <row r="533">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row>
    <row r="534">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row>
    <row r="5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row>
    <row r="536">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row>
    <row r="537">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row>
    <row r="538">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row>
    <row r="539">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row>
    <row r="540">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row>
    <row r="54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row>
    <row r="542">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row>
    <row r="543">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row>
    <row r="544">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row>
    <row r="54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row>
    <row r="546">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row>
    <row r="547">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row>
    <row r="548">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row>
    <row r="549">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row>
    <row r="550">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row>
    <row r="55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row>
    <row r="552">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row>
    <row r="553">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row>
    <row r="554">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row>
    <row r="55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row>
    <row r="556">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row>
    <row r="557">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row>
    <row r="558">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row>
    <row r="559">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row>
    <row r="560">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row>
    <row r="56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row>
    <row r="562">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row>
    <row r="563">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row>
    <row r="564">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row>
    <row r="56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row>
    <row r="566">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row>
    <row r="567">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row>
    <row r="568">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row>
    <row r="569">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row>
    <row r="570">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row>
    <row r="57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row>
    <row r="572">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row>
    <row r="573">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row>
    <row r="574">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row>
    <row r="57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row>
    <row r="576">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row>
    <row r="577">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row>
    <row r="578">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row>
    <row r="579">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row>
    <row r="580">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row>
    <row r="58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row>
    <row r="582">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row>
    <row r="583">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row>
    <row r="584">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row>
    <row r="58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row>
    <row r="586">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row>
    <row r="587">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row>
    <row r="588">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row>
    <row r="589">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row>
    <row r="590">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row>
    <row r="59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row>
    <row r="592">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row>
    <row r="593">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row>
    <row r="594">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row>
    <row r="59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row>
    <row r="596">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row>
    <row r="597">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row>
    <row r="598">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row>
    <row r="599">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row>
    <row r="600">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row>
    <row r="60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row>
    <row r="602">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row>
    <row r="603">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row>
    <row r="604">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row>
    <row r="60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row>
    <row r="606">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row>
    <row r="607">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row>
    <row r="608">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row>
    <row r="609">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row>
    <row r="610">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row>
    <row r="61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row>
    <row r="612">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row>
    <row r="613">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row>
    <row r="614">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row>
    <row r="61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row>
    <row r="616">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row>
    <row r="617">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row>
    <row r="618">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row>
    <row r="619">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row>
    <row r="620">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row>
    <row r="62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row>
    <row r="622">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row>
    <row r="623">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row>
    <row r="624">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row>
    <row r="6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row>
    <row r="626">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row>
    <row r="627">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row>
    <row r="628">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row>
    <row r="629">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row>
    <row r="630">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row>
    <row r="63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row>
    <row r="632">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row>
    <row r="633">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row>
    <row r="634">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row>
    <row r="6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row>
    <row r="636">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row>
    <row r="637">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row>
    <row r="638">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row>
    <row r="639">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row>
    <row r="640">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row>
    <row r="64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row>
    <row r="642">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row>
    <row r="643">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row>
    <row r="644">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row>
    <row r="64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row>
    <row r="646">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row>
    <row r="647">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row>
    <row r="648">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row>
    <row r="649">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row>
    <row r="650">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row>
    <row r="65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row>
    <row r="652">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row>
    <row r="653">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row>
    <row r="654">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row>
    <row r="65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row>
    <row r="656">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row>
    <row r="657">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row>
    <row r="658">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row>
    <row r="659">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row>
    <row r="660">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row>
    <row r="66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row>
    <row r="662">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row>
    <row r="663">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row>
    <row r="664">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row>
    <row r="66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row>
    <row r="666">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row>
    <row r="667">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row>
    <row r="668">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row>
    <row r="669">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row>
    <row r="670">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row>
    <row r="67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row>
    <row r="672">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row>
    <row r="673">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row>
    <row r="674">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row>
    <row r="67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row>
    <row r="676">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row>
    <row r="677">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row>
    <row r="678">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row>
    <row r="679">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row>
    <row r="680">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row>
    <row r="68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row>
    <row r="682">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row>
    <row r="683">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row>
    <row r="684">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row>
    <row r="68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row>
    <row r="686">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row>
    <row r="687">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row>
    <row r="688">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row>
    <row r="689">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row>
    <row r="690">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row>
    <row r="69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row>
    <row r="692">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row>
    <row r="693">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row>
    <row r="694">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row>
    <row r="69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row>
    <row r="696">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row>
    <row r="697">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row>
    <row r="698">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row>
    <row r="699">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row>
    <row r="700">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row>
    <row r="70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row>
    <row r="702">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row>
    <row r="703">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row>
    <row r="704">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row>
    <row r="70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row>
    <row r="706">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row>
    <row r="707">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row>
    <row r="708">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row>
    <row r="709">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row>
    <row r="710">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row>
    <row r="71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row>
    <row r="712">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row>
    <row r="713">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row>
    <row r="714">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row>
    <row r="71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row>
    <row r="716">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row>
    <row r="717">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row>
    <row r="718">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row>
    <row r="719">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row>
    <row r="720">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row>
    <row r="72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row>
    <row r="722">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row>
    <row r="723">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row>
    <row r="724">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row>
    <row r="7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row>
    <row r="726">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row>
    <row r="727">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row>
    <row r="728">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row>
    <row r="729">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row>
    <row r="730">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row>
    <row r="73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row>
    <row r="732">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row>
    <row r="733">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row>
    <row r="734">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row>
    <row r="7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row>
    <row r="736">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row>
    <row r="737">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row>
    <row r="738">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row>
    <row r="739">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row>
    <row r="740">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row>
    <row r="74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row>
    <row r="742">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row>
    <row r="743">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row>
    <row r="744">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row>
    <row r="74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row>
    <row r="746">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row>
    <row r="747">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row>
    <row r="748">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row>
    <row r="749">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row>
    <row r="750">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row>
    <row r="75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row>
    <row r="752">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row>
    <row r="753">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row>
    <row r="754">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row>
    <row r="75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row>
    <row r="756">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row>
    <row r="757">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row>
    <row r="758">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row>
    <row r="759">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row>
    <row r="760">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row>
    <row r="76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row>
    <row r="762">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row>
    <row r="763">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row>
    <row r="764">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row>
    <row r="76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row>
    <row r="766">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row>
    <row r="767">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row>
    <row r="768">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row>
    <row r="769">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row>
    <row r="770">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row>
    <row r="77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row>
    <row r="772">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row>
    <row r="773">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row>
    <row r="774">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row>
    <row r="77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row>
    <row r="776">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row>
    <row r="777">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row>
    <row r="778">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row>
    <row r="779">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row>
    <row r="780">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row>
    <row r="78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row>
    <row r="782">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row>
    <row r="783">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row>
    <row r="784">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row>
    <row r="78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row>
    <row r="786">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row>
    <row r="787">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row>
    <row r="788">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row>
    <row r="789">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row>
    <row r="790">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row>
    <row r="79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row>
    <row r="792">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row>
    <row r="793">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row>
    <row r="794">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row>
    <row r="79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row>
    <row r="796">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row>
    <row r="797">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row>
    <row r="798">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row>
    <row r="799">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row>
    <row r="800">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row>
    <row r="80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row>
    <row r="802">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row>
    <row r="803">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row>
    <row r="804">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row>
    <row r="80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row>
    <row r="806">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row>
    <row r="807">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row>
    <row r="808">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row>
    <row r="809">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row>
    <row r="810">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row>
    <row r="81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row>
    <row r="812">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row>
    <row r="813">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row>
    <row r="814">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row>
    <row r="81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row>
    <row r="816">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row>
    <row r="817">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row>
    <row r="818">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row>
    <row r="819">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row>
    <row r="820">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row>
    <row r="82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row>
    <row r="822">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row>
    <row r="823">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row>
    <row r="824">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row>
    <row r="8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row>
    <row r="826">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row>
    <row r="827">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row>
    <row r="828">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row>
    <row r="829">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row>
    <row r="830">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row>
    <row r="83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row>
    <row r="832">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row>
    <row r="833">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row>
    <row r="834">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row>
    <row r="8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row>
    <row r="836">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row>
    <row r="837">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row>
    <row r="838">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row>
    <row r="839">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row>
    <row r="840">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row>
    <row r="84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row>
    <row r="842">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row>
    <row r="843">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row>
    <row r="844">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row>
    <row r="84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row>
    <row r="846">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row>
    <row r="847">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row>
    <row r="848">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row>
    <row r="849">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row>
    <row r="850">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row>
    <row r="85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row>
    <row r="852">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row>
    <row r="853">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row>
    <row r="854">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row>
    <row r="85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row>
    <row r="856">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row>
    <row r="857">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row>
    <row r="858">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row>
    <row r="859">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row>
    <row r="860">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row>
    <row r="86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row>
    <row r="862">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row>
    <row r="863">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row>
    <row r="864">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row>
    <row r="86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row>
    <row r="866">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row>
    <row r="867">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row>
    <row r="868">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row>
    <row r="869">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row>
    <row r="870">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row>
    <row r="87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row>
    <row r="872">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row>
    <row r="873">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row>
    <row r="874">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row>
    <row r="87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row>
    <row r="876">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row>
    <row r="877">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row>
    <row r="878">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row>
    <row r="879">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row>
    <row r="880">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row>
    <row r="88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row>
    <row r="882">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row>
    <row r="883">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row>
    <row r="884">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row>
    <row r="88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row>
    <row r="886">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row>
    <row r="887">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row>
    <row r="888">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row>
    <row r="889">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row>
    <row r="890">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row>
    <row r="89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row>
    <row r="892">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row>
    <row r="893">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row>
    <row r="894">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row>
    <row r="89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row>
    <row r="896">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row>
    <row r="897">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row>
    <row r="898">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row>
    <row r="899">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row>
    <row r="900">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row>
    <row r="90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row>
    <row r="902">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row>
    <row r="903">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row>
    <row r="904">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row>
    <row r="90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row>
    <row r="906">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row>
    <row r="907">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row>
    <row r="908">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row>
    <row r="909">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row>
    <row r="910">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row>
    <row r="91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row>
    <row r="912">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row>
    <row r="913">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row>
    <row r="914">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row>
    <row r="91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row>
    <row r="916">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row>
    <row r="917">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row>
    <row r="918">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row>
    <row r="919">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row>
    <row r="920">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row>
    <row r="92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row>
    <row r="922">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row>
    <row r="923">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row>
    <row r="924">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row>
    <row r="9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row>
    <row r="926">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row>
    <row r="927">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row>
    <row r="928">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row>
    <row r="929">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row>
    <row r="930">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row>
    <row r="93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row>
    <row r="932">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row>
    <row r="933">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row>
    <row r="934">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row>
    <row r="9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row>
    <row r="936">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row>
    <row r="937">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row>
    <row r="938">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row>
    <row r="939">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row>
    <row r="940">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row>
    <row r="94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row>
    <row r="942">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row>
    <row r="943">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row>
    <row r="944">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row>
    <row r="94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row>
    <row r="946">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row>
    <row r="947">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row>
    <row r="948">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row>
    <row r="949">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row>
    <row r="950">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row>
    <row r="95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row>
    <row r="952">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f>BB957+0.01</f>
        <v>1016.06</v>
      </c>
      <c r="BC952" s="2"/>
      <c r="BD952" s="2"/>
      <c r="BE952" s="2"/>
      <c r="BF952" s="2"/>
      <c r="BG952" s="2"/>
      <c r="BH952" s="2"/>
      <c r="BI952" s="2"/>
      <c r="BJ952" s="2"/>
      <c r="BK952" s="2"/>
      <c r="BL952" s="2"/>
    </row>
    <row r="953">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row>
    <row r="954">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row>
    <row r="95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row>
    <row r="956">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row>
    <row r="957">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f t="shared" ref="BB957:BD957" si="96">BB968*100</f>
        <v>1016.05</v>
      </c>
      <c r="BC957" s="2">
        <f t="shared" si="96"/>
        <v>1016.05</v>
      </c>
      <c r="BD957" s="2">
        <f t="shared" si="96"/>
        <v>948.36</v>
      </c>
      <c r="BE957" s="2"/>
      <c r="BF957" s="2"/>
      <c r="BG957" s="2"/>
      <c r="BH957" s="2"/>
      <c r="BI957" s="2"/>
      <c r="BJ957" s="2"/>
      <c r="BK957" s="2"/>
      <c r="BL957" s="2"/>
    </row>
    <row r="958">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f t="shared" ref="BB958:BD958" si="97">BB969*100</f>
        <v>1014.25</v>
      </c>
      <c r="BC958" s="2">
        <f t="shared" si="97"/>
        <v>1014.25</v>
      </c>
      <c r="BD958" s="2">
        <f t="shared" si="97"/>
        <v>946.56</v>
      </c>
      <c r="BE958" s="2"/>
      <c r="BF958" s="2"/>
      <c r="BG958" s="2"/>
      <c r="BH958" s="2"/>
      <c r="BI958" s="2"/>
      <c r="BJ958" s="2"/>
      <c r="BK958" s="2"/>
      <c r="BL958" s="2"/>
    </row>
    <row r="959">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f t="shared" ref="BB959:BD959" si="98">BB970*100</f>
        <v>956.05</v>
      </c>
      <c r="BC959" s="2">
        <f t="shared" si="98"/>
        <v>956.05</v>
      </c>
      <c r="BD959" s="2">
        <f t="shared" si="98"/>
        <v>888.36</v>
      </c>
      <c r="BE959" s="2"/>
      <c r="BF959" s="2"/>
      <c r="BG959" s="2"/>
      <c r="BH959" s="2"/>
      <c r="BI959" s="2"/>
      <c r="BJ959" s="2"/>
      <c r="BK959" s="2"/>
      <c r="BL959" s="2"/>
    </row>
    <row r="960">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f t="shared" ref="BB960:BD960" si="99">BB971*100</f>
        <v>955.93</v>
      </c>
      <c r="BC960" s="2">
        <f t="shared" si="99"/>
        <v>955.93</v>
      </c>
      <c r="BD960" s="2">
        <f t="shared" si="99"/>
        <v>888.24</v>
      </c>
      <c r="BE960" s="2"/>
      <c r="BF960" s="2"/>
      <c r="BG960" s="2"/>
      <c r="BH960" s="2"/>
      <c r="BI960" s="2"/>
      <c r="BJ960" s="2"/>
      <c r="BK960" s="2"/>
      <c r="BL960" s="2"/>
    </row>
    <row r="96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f t="shared" ref="BB961:BD961" si="100">BB972*100</f>
        <v>938.33</v>
      </c>
      <c r="BC961" s="2">
        <f t="shared" si="100"/>
        <v>938.33</v>
      </c>
      <c r="BD961" s="2">
        <f t="shared" si="100"/>
        <v>870.64</v>
      </c>
      <c r="BE961" s="2"/>
      <c r="BF961" s="2"/>
      <c r="BG961" s="2"/>
      <c r="BH961" s="2"/>
      <c r="BI961" s="2"/>
      <c r="BJ961" s="2"/>
      <c r="BK961" s="2"/>
      <c r="BL961" s="2"/>
    </row>
    <row r="962">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f t="shared" ref="BB962:BD962" si="101">BB973*100</f>
        <v>935.93</v>
      </c>
      <c r="BC962" s="2">
        <f t="shared" si="101"/>
        <v>935.93</v>
      </c>
      <c r="BD962" s="2">
        <f t="shared" si="101"/>
        <v>868.24</v>
      </c>
      <c r="BE962" s="2"/>
      <c r="BF962" s="2"/>
      <c r="BG962" s="2"/>
      <c r="BH962" s="2"/>
      <c r="BI962" s="2"/>
      <c r="BJ962" s="2"/>
      <c r="BK962" s="2"/>
      <c r="BL962" s="2"/>
    </row>
    <row r="963">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f t="shared" ref="BB963:BD963" si="102">BB974*100</f>
        <v>933.53</v>
      </c>
      <c r="BC963" s="2">
        <f t="shared" si="102"/>
        <v>933.53</v>
      </c>
      <c r="BD963" s="2">
        <f t="shared" si="102"/>
        <v>865.84</v>
      </c>
      <c r="BE963" s="2"/>
      <c r="BF963" s="2"/>
      <c r="BG963" s="2"/>
      <c r="BH963" s="2"/>
      <c r="BI963" s="2"/>
      <c r="BJ963" s="2"/>
      <c r="BK963" s="2"/>
      <c r="BL963" s="2"/>
    </row>
    <row r="964">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f t="shared" ref="BB964:BD964" si="103">BB975*100</f>
        <v>860.33</v>
      </c>
      <c r="BC964" s="2">
        <f t="shared" si="103"/>
        <v>860.33</v>
      </c>
      <c r="BD964" s="2">
        <f t="shared" si="103"/>
        <v>792.64</v>
      </c>
      <c r="BE964" s="2"/>
      <c r="BF964" s="2"/>
      <c r="BG964" s="2"/>
      <c r="BH964" s="2"/>
      <c r="BI964" s="2"/>
      <c r="BJ964" s="2"/>
      <c r="BK964" s="2"/>
      <c r="BL964" s="2"/>
    </row>
    <row r="96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f t="shared" ref="BB965:BD965" si="104">BB976*100</f>
        <v>857.93</v>
      </c>
      <c r="BC965" s="2">
        <f t="shared" si="104"/>
        <v>857.93</v>
      </c>
      <c r="BD965" s="2">
        <f t="shared" si="104"/>
        <v>790.24</v>
      </c>
      <c r="BE965" s="2"/>
      <c r="BF965" s="2"/>
      <c r="BG965" s="2"/>
      <c r="BH965" s="2"/>
      <c r="BI965" s="2"/>
      <c r="BJ965" s="2"/>
      <c r="BK965" s="2"/>
      <c r="BL965" s="2"/>
    </row>
    <row r="966">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f t="shared" ref="BB966:BD966" si="105">BB977*100</f>
        <v>857.69</v>
      </c>
      <c r="BC966" s="2">
        <f t="shared" si="105"/>
        <v>857.69</v>
      </c>
      <c r="BD966" s="2">
        <f t="shared" si="105"/>
        <v>790</v>
      </c>
      <c r="BE966" s="2"/>
      <c r="BF966" s="2"/>
      <c r="BG966" s="2"/>
      <c r="BH966" s="2"/>
      <c r="BI966" s="2"/>
      <c r="BJ966" s="2"/>
      <c r="BK966" s="2"/>
      <c r="BL966" s="2"/>
    </row>
    <row r="967">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7">
        <v>1000.0</v>
      </c>
      <c r="BB967" s="2"/>
      <c r="BC967" s="2"/>
      <c r="BD967" s="2"/>
      <c r="BE967" s="2"/>
      <c r="BF967" s="2"/>
      <c r="BG967" s="2"/>
      <c r="BH967" s="2"/>
      <c r="BI967" s="2"/>
      <c r="BJ967" s="2"/>
      <c r="BK967" s="2"/>
      <c r="BL967" s="2"/>
    </row>
    <row r="968">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7">
        <v>1.2</v>
      </c>
      <c r="AZ968" s="7">
        <v>9.0</v>
      </c>
      <c r="BA968" s="147">
        <f>AZ968/BA967</f>
        <v>0.009</v>
      </c>
      <c r="BB968" s="2">
        <f t="shared" ref="BB968:BB976" si="106">BB969+(BA968*2)</f>
        <v>10.1605</v>
      </c>
      <c r="BC968" s="2">
        <v>10.160499999999999</v>
      </c>
      <c r="BD968" s="2">
        <f t="shared" ref="BD968:BD976" si="107">BD969+(BA968*2)</f>
        <v>9.4836</v>
      </c>
      <c r="BE968" s="2"/>
      <c r="BF968" s="2">
        <f t="shared" ref="BF968:BF977" si="108">BB968*BC968*BD968</f>
        <v>979.0466559</v>
      </c>
      <c r="BG968" s="2"/>
      <c r="BH968" s="2">
        <f t="shared" ref="BH968:BH976" si="109">BF968-BF969</f>
        <v>5.317485067</v>
      </c>
      <c r="BI968" s="2"/>
      <c r="BJ968" s="2"/>
      <c r="BK968" s="2">
        <f t="shared" ref="BK968:BK977" si="110">BD968*100</f>
        <v>948.36</v>
      </c>
      <c r="BL968" s="2"/>
    </row>
    <row r="969">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7">
        <v>12.0</v>
      </c>
      <c r="AZ969" s="7">
        <v>291.0</v>
      </c>
      <c r="BA969" s="147">
        <f>AZ969/BA967</f>
        <v>0.291</v>
      </c>
      <c r="BB969" s="2">
        <f t="shared" si="106"/>
        <v>10.1425</v>
      </c>
      <c r="BC969" s="2">
        <v>10.142499999999998</v>
      </c>
      <c r="BD969" s="2">
        <f t="shared" si="107"/>
        <v>9.4656</v>
      </c>
      <c r="BE969" s="2"/>
      <c r="BF969" s="2">
        <f t="shared" si="108"/>
        <v>973.7291708</v>
      </c>
      <c r="BG969" s="2"/>
      <c r="BH969" s="2">
        <f t="shared" si="109"/>
        <v>161.7400564</v>
      </c>
      <c r="BI969" s="7" t="s">
        <v>309</v>
      </c>
      <c r="BJ969" s="2"/>
      <c r="BK969" s="2">
        <f t="shared" si="110"/>
        <v>946.56</v>
      </c>
      <c r="BL969" s="2"/>
    </row>
    <row r="970">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7">
        <v>366.0</v>
      </c>
      <c r="AZ970" s="7">
        <v>0.6</v>
      </c>
      <c r="BA970" s="147">
        <f>AZ970/BA967</f>
        <v>0.0006</v>
      </c>
      <c r="BB970" s="2">
        <f t="shared" si="106"/>
        <v>9.5605</v>
      </c>
      <c r="BC970" s="2">
        <v>9.560499999999998</v>
      </c>
      <c r="BD970" s="2">
        <f t="shared" si="107"/>
        <v>8.8836</v>
      </c>
      <c r="BE970" s="2"/>
      <c r="BF970" s="2">
        <f t="shared" si="108"/>
        <v>811.9891144</v>
      </c>
      <c r="BG970" s="2"/>
      <c r="BH970" s="2">
        <f t="shared" si="109"/>
        <v>0.3134794461</v>
      </c>
      <c r="BI970" s="2"/>
      <c r="BJ970" s="2"/>
      <c r="BK970" s="2">
        <f t="shared" si="110"/>
        <v>888.36</v>
      </c>
      <c r="BL970" s="2"/>
    </row>
    <row r="97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7">
        <v>12.0</v>
      </c>
      <c r="AZ971" s="7">
        <v>88.0</v>
      </c>
      <c r="BA971" s="147">
        <f>AZ971/BA967</f>
        <v>0.088</v>
      </c>
      <c r="BB971" s="2">
        <f t="shared" si="106"/>
        <v>9.5593</v>
      </c>
      <c r="BC971" s="2">
        <v>9.559299999999997</v>
      </c>
      <c r="BD971" s="2">
        <f t="shared" si="107"/>
        <v>8.8824</v>
      </c>
      <c r="BE971" s="2"/>
      <c r="BF971" s="2">
        <f t="shared" si="108"/>
        <v>811.675635</v>
      </c>
      <c r="BG971" s="2"/>
      <c r="BH971" s="2">
        <f t="shared" si="109"/>
        <v>45.10916417</v>
      </c>
      <c r="BI971" s="2"/>
      <c r="BJ971" s="2"/>
      <c r="BK971" s="2">
        <f t="shared" si="110"/>
        <v>888.24</v>
      </c>
      <c r="BL971" s="2"/>
    </row>
    <row r="972">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7">
        <v>12.0</v>
      </c>
      <c r="AZ972" s="7">
        <v>12.0</v>
      </c>
      <c r="BA972" s="147">
        <f>AZ972/BA967</f>
        <v>0.012</v>
      </c>
      <c r="BB972" s="2">
        <f t="shared" si="106"/>
        <v>9.3833</v>
      </c>
      <c r="BC972" s="2">
        <v>9.383299999999997</v>
      </c>
      <c r="BD972" s="2">
        <f t="shared" si="107"/>
        <v>8.7064</v>
      </c>
      <c r="BE972" s="2"/>
      <c r="BF972" s="2">
        <f t="shared" si="108"/>
        <v>766.5664708</v>
      </c>
      <c r="BG972" s="2"/>
      <c r="BH972" s="2">
        <f t="shared" si="109"/>
        <v>6.018649659</v>
      </c>
      <c r="BI972" s="2"/>
      <c r="BJ972" s="2"/>
      <c r="BK972" s="2">
        <f t="shared" si="110"/>
        <v>870.64</v>
      </c>
      <c r="BL972" s="2"/>
    </row>
    <row r="973">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7">
        <v>88.0</v>
      </c>
      <c r="AZ973" s="7">
        <v>12.0</v>
      </c>
      <c r="BA973" s="147">
        <f>AZ973/BA967</f>
        <v>0.012</v>
      </c>
      <c r="BB973" s="2">
        <f t="shared" si="106"/>
        <v>9.3593</v>
      </c>
      <c r="BC973" s="2">
        <v>9.359299999999998</v>
      </c>
      <c r="BD973" s="2">
        <f t="shared" si="107"/>
        <v>8.6824</v>
      </c>
      <c r="BE973" s="2"/>
      <c r="BF973" s="2">
        <f t="shared" si="108"/>
        <v>760.5478211</v>
      </c>
      <c r="BG973" s="2"/>
      <c r="BH973" s="2">
        <f t="shared" si="109"/>
        <v>5.987083707</v>
      </c>
      <c r="BI973" s="2"/>
      <c r="BJ973" s="2"/>
      <c r="BK973" s="2">
        <f t="shared" si="110"/>
        <v>868.24</v>
      </c>
      <c r="BL973" s="2"/>
    </row>
    <row r="974">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7">
        <v>0.6</v>
      </c>
      <c r="AZ974" s="7">
        <v>366.0</v>
      </c>
      <c r="BA974" s="147">
        <f>AZ974/BA967</f>
        <v>0.366</v>
      </c>
      <c r="BB974" s="2">
        <f t="shared" si="106"/>
        <v>9.3353</v>
      </c>
      <c r="BC974" s="2">
        <v>9.335299999999998</v>
      </c>
      <c r="BD974" s="2">
        <f t="shared" si="107"/>
        <v>8.6584</v>
      </c>
      <c r="BE974" s="2"/>
      <c r="BF974" s="2">
        <f t="shared" si="108"/>
        <v>754.5607374</v>
      </c>
      <c r="BG974" s="2"/>
      <c r="BH974" s="2">
        <f t="shared" si="109"/>
        <v>167.8742046</v>
      </c>
      <c r="BI974" s="2"/>
      <c r="BJ974" s="2"/>
      <c r="BK974" s="2">
        <f t="shared" si="110"/>
        <v>865.84</v>
      </c>
      <c r="BL974" s="2"/>
    </row>
    <row r="97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7">
        <v>291.0</v>
      </c>
      <c r="AZ975" s="7">
        <v>12.0</v>
      </c>
      <c r="BA975" s="147">
        <f>AZ975/BA967</f>
        <v>0.012</v>
      </c>
      <c r="BB975" s="2">
        <f t="shared" si="106"/>
        <v>8.6033</v>
      </c>
      <c r="BC975" s="2">
        <v>8.603299999999999</v>
      </c>
      <c r="BD975" s="2">
        <f t="shared" si="107"/>
        <v>7.9264</v>
      </c>
      <c r="BE975" s="2"/>
      <c r="BF975" s="2">
        <f t="shared" si="108"/>
        <v>586.6865328</v>
      </c>
      <c r="BG975" s="2"/>
      <c r="BH975" s="2">
        <f t="shared" si="109"/>
        <v>5.035213179</v>
      </c>
      <c r="BI975" s="2"/>
      <c r="BJ975" s="2"/>
      <c r="BK975" s="2">
        <f t="shared" si="110"/>
        <v>792.64</v>
      </c>
      <c r="BL975" s="2"/>
    </row>
    <row r="976">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7">
        <v>9.0</v>
      </c>
      <c r="AZ976" s="7">
        <v>1.2</v>
      </c>
      <c r="BA976" s="147">
        <f>AZ976/BA967</f>
        <v>0.0012</v>
      </c>
      <c r="BB976" s="2">
        <f t="shared" si="106"/>
        <v>8.5793</v>
      </c>
      <c r="BC976" s="2">
        <v>8.5793</v>
      </c>
      <c r="BD976" s="2">
        <f t="shared" si="107"/>
        <v>7.9024</v>
      </c>
      <c r="BF976" s="2">
        <f t="shared" si="108"/>
        <v>581.6513196</v>
      </c>
      <c r="BG976" s="2"/>
      <c r="BH976" s="2">
        <f t="shared" si="109"/>
        <v>0.5019320844</v>
      </c>
      <c r="BI976" s="2"/>
      <c r="BJ976" s="2"/>
      <c r="BK976" s="2">
        <f t="shared" si="110"/>
        <v>790.24</v>
      </c>
      <c r="BL976" s="2"/>
    </row>
    <row r="977">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305">
        <v>8.5769</v>
      </c>
      <c r="BC977" s="305">
        <v>8.5769</v>
      </c>
      <c r="BD977" s="306">
        <v>7.9</v>
      </c>
      <c r="BF977" s="2">
        <f t="shared" si="108"/>
        <v>581.1493875</v>
      </c>
      <c r="BG977" s="2"/>
      <c r="BH977" s="2">
        <f>SUM(BH968:BH976)</f>
        <v>397.8972684</v>
      </c>
      <c r="BI977" s="2"/>
      <c r="BJ977" s="2"/>
      <c r="BK977" s="2">
        <f t="shared" si="110"/>
        <v>790</v>
      </c>
      <c r="BL977" s="2"/>
    </row>
    <row r="978">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row>
    <row r="979">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G979" s="2"/>
      <c r="BH979" s="2"/>
      <c r="BI979" s="2"/>
      <c r="BJ979" s="2"/>
      <c r="BK979" s="2"/>
      <c r="BL979" s="2"/>
    </row>
    <row r="980">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f>AY968*AY968*AY968</f>
        <v>1.728</v>
      </c>
      <c r="BB980" s="2"/>
      <c r="BC980" s="2"/>
      <c r="BD980" s="2"/>
      <c r="BE980" s="2"/>
      <c r="BF980" s="2"/>
      <c r="BG980" s="2"/>
      <c r="BH980" s="2"/>
      <c r="BI980" s="2"/>
      <c r="BJ980" s="2"/>
      <c r="BK980" s="2"/>
      <c r="BL980" s="2"/>
    </row>
    <row r="98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7">
        <v>1.0</v>
      </c>
      <c r="BB981" s="7" t="s">
        <v>310</v>
      </c>
      <c r="BC981" s="79">
        <v>979.0466559068999</v>
      </c>
      <c r="BD981" s="2">
        <f t="shared" ref="BD981:BD989" si="111">BC981-BC982</f>
        <v>5.317485067</v>
      </c>
      <c r="BE981" s="2"/>
      <c r="BF981" s="7">
        <v>10.148</v>
      </c>
      <c r="BG981" s="7">
        <v>10.148</v>
      </c>
      <c r="BH981" s="7">
        <v>9.5</v>
      </c>
      <c r="BI981" s="2"/>
      <c r="BJ981" s="2"/>
      <c r="BK981" s="2"/>
      <c r="BL981" s="2"/>
    </row>
    <row r="982">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7">
        <v>2.0</v>
      </c>
      <c r="BB982" s="7" t="s">
        <v>311</v>
      </c>
      <c r="BC982" s="79">
        <v>973.7291708399997</v>
      </c>
      <c r="BD982" s="2">
        <f t="shared" si="111"/>
        <v>161.7400564</v>
      </c>
      <c r="BE982" s="2"/>
      <c r="BF982" s="2"/>
      <c r="BG982" s="2"/>
      <c r="BH982" s="2"/>
      <c r="BI982" s="2"/>
      <c r="BJ982" s="2"/>
      <c r="BK982" s="2"/>
      <c r="BL982" s="2"/>
    </row>
    <row r="983">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7">
        <v>3.0</v>
      </c>
      <c r="BB983" s="7" t="s">
        <v>312</v>
      </c>
      <c r="BC983" s="79">
        <v>811.9891143968996</v>
      </c>
      <c r="BD983" s="2">
        <f t="shared" si="111"/>
        <v>0.3134794461</v>
      </c>
      <c r="BE983" s="2"/>
      <c r="BF983" s="2"/>
      <c r="BG983" s="2"/>
      <c r="BH983" s="2"/>
      <c r="BI983" s="2"/>
      <c r="BJ983" s="2"/>
      <c r="BK983" s="2"/>
      <c r="BL983" s="2"/>
    </row>
    <row r="984">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7">
        <v>4.0</v>
      </c>
      <c r="BB984" s="7" t="s">
        <v>313</v>
      </c>
      <c r="BC984" s="2">
        <v>811.6756349507754</v>
      </c>
      <c r="BD984" s="2">
        <f t="shared" si="111"/>
        <v>45.10916417</v>
      </c>
      <c r="BE984" s="2"/>
      <c r="BF984" s="2"/>
      <c r="BG984" s="2"/>
      <c r="BH984" s="2"/>
      <c r="BI984" s="2"/>
      <c r="BJ984" s="2"/>
      <c r="BK984" s="2"/>
      <c r="BL984" s="2"/>
    </row>
    <row r="98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7">
        <v>5.0</v>
      </c>
      <c r="BB985" s="7" t="s">
        <v>314</v>
      </c>
      <c r="BC985" s="2">
        <v>766.5664707838953</v>
      </c>
      <c r="BD985" s="2">
        <f t="shared" si="111"/>
        <v>6.018649659</v>
      </c>
      <c r="BE985" s="2"/>
      <c r="BF985" s="2"/>
      <c r="BG985" s="2"/>
      <c r="BH985" s="2"/>
      <c r="BI985" s="2"/>
      <c r="BJ985" s="2"/>
      <c r="BK985" s="2"/>
      <c r="BL985" s="2"/>
    </row>
    <row r="986">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7">
        <v>6.0</v>
      </c>
      <c r="BB986" s="7" t="s">
        <v>315</v>
      </c>
      <c r="BC986" s="2">
        <v>760.5478211247755</v>
      </c>
      <c r="BD986" s="2">
        <f t="shared" si="111"/>
        <v>5.987083707</v>
      </c>
      <c r="BE986" s="2"/>
      <c r="BF986" s="2">
        <f>857.93/2</f>
        <v>428.965</v>
      </c>
      <c r="BG986" s="2"/>
      <c r="BH986" s="2"/>
      <c r="BI986" s="2"/>
      <c r="BJ986" s="2"/>
      <c r="BK986" s="2"/>
      <c r="BL986" s="2"/>
    </row>
    <row r="987">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7">
        <v>7.0</v>
      </c>
      <c r="BB987" s="7" t="s">
        <v>316</v>
      </c>
      <c r="BC987" s="2">
        <v>754.5607374176558</v>
      </c>
      <c r="BD987" s="2">
        <f t="shared" si="111"/>
        <v>167.8742046</v>
      </c>
      <c r="BE987" s="2"/>
      <c r="BF987" s="2"/>
      <c r="BG987" s="2"/>
      <c r="BH987" s="2"/>
      <c r="BI987" s="2"/>
      <c r="BJ987" s="2"/>
      <c r="BK987" s="2"/>
      <c r="BL987" s="2"/>
    </row>
    <row r="988">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7">
        <v>8.0</v>
      </c>
      <c r="BB988" s="7" t="s">
        <v>317</v>
      </c>
      <c r="BC988" s="2">
        <v>586.6865327824959</v>
      </c>
      <c r="BD988" s="2">
        <f t="shared" si="111"/>
        <v>5.035213179</v>
      </c>
      <c r="BE988" s="2"/>
      <c r="BF988" s="2"/>
      <c r="BG988" s="2"/>
      <c r="BH988" s="2"/>
      <c r="BI988" s="2"/>
      <c r="BJ988" s="2"/>
      <c r="BK988" s="2"/>
      <c r="BL988" s="2"/>
    </row>
    <row r="989">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7">
        <v>9.0</v>
      </c>
      <c r="BB989" s="7" t="s">
        <v>318</v>
      </c>
      <c r="BC989" s="2">
        <v>581.651319603376</v>
      </c>
      <c r="BD989" s="2">
        <f t="shared" si="111"/>
        <v>581.6513196</v>
      </c>
      <c r="BE989" s="2"/>
      <c r="BF989" s="2"/>
      <c r="BG989" s="2"/>
      <c r="BH989" s="2"/>
      <c r="BI989" s="2"/>
      <c r="BJ989" s="2"/>
      <c r="BK989" s="2"/>
      <c r="BL989" s="2"/>
    </row>
    <row r="990">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row>
    <row r="99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row>
    <row r="992">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row>
    <row r="993">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v>581.55369419872</v>
      </c>
      <c r="BC993" s="2"/>
      <c r="BD993" s="2"/>
      <c r="BE993" s="2"/>
      <c r="BF993" s="2"/>
      <c r="BG993" s="2"/>
      <c r="BH993" s="2"/>
      <c r="BI993" s="2"/>
      <c r="BJ993" s="2"/>
      <c r="BK993" s="2"/>
      <c r="BL993" s="2"/>
    </row>
    <row r="994">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90" t="s">
        <v>278</v>
      </c>
      <c r="BB994" s="290" t="s">
        <v>279</v>
      </c>
      <c r="BC994" s="290" t="s">
        <v>280</v>
      </c>
      <c r="BD994" s="2"/>
      <c r="BE994" s="2"/>
      <c r="BF994" s="7" t="s">
        <v>14</v>
      </c>
      <c r="BG994" s="7" t="s">
        <v>15</v>
      </c>
      <c r="BH994" s="7" t="s">
        <v>16</v>
      </c>
      <c r="BI994" s="2"/>
      <c r="BJ994" s="2"/>
      <c r="BK994" s="2"/>
      <c r="BL994" s="2"/>
    </row>
    <row r="99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7">
        <v>0.009</v>
      </c>
      <c r="BB995" s="2">
        <f t="shared" ref="BB995:BC995" si="112">10148/1000</f>
        <v>10.148</v>
      </c>
      <c r="BC995" s="2">
        <f t="shared" si="112"/>
        <v>10.148</v>
      </c>
      <c r="BD995" s="2"/>
      <c r="BE995" s="7">
        <v>100.0</v>
      </c>
      <c r="BF995" s="2">
        <f>BB995*BE995</f>
        <v>1014.8</v>
      </c>
      <c r="BG995" s="2">
        <v>1014.8</v>
      </c>
      <c r="BH995" s="2">
        <f t="shared" ref="BH995:BH1003" si="113">BC1007*BE995</f>
        <v>950</v>
      </c>
      <c r="BI995" s="2">
        <f t="shared" ref="BI995:BI1003" si="114">(BF995*BG995*BH995)/1000000</f>
        <v>978.328088</v>
      </c>
      <c r="BJ995" s="2">
        <f t="shared" ref="BJ995:BJ1004" si="115">BI995-BI996</f>
        <v>4.757457028</v>
      </c>
      <c r="BK995" s="2"/>
      <c r="BL995" s="2"/>
    </row>
    <row r="996">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7">
        <v>0.291</v>
      </c>
      <c r="BB996" s="2">
        <f>10150.9/1000-(BA995*2)</f>
        <v>10.1329</v>
      </c>
      <c r="BC996" s="293">
        <f>10150.9/1000-(BA995*2)</f>
        <v>10.1329</v>
      </c>
      <c r="BD996" s="2"/>
      <c r="BE996" s="7">
        <v>100.0</v>
      </c>
      <c r="BF996" s="2">
        <f t="shared" ref="BF996:BF1003" si="116">BB996*BE995</f>
        <v>1013.29</v>
      </c>
      <c r="BG996" s="2">
        <v>1013.29</v>
      </c>
      <c r="BH996" s="2">
        <f t="shared" si="113"/>
        <v>948.2</v>
      </c>
      <c r="BI996" s="2">
        <f t="shared" si="114"/>
        <v>973.570631</v>
      </c>
      <c r="BJ996" s="2">
        <f t="shared" si="115"/>
        <v>161.7153828</v>
      </c>
      <c r="BK996" s="2"/>
      <c r="BL996" s="2"/>
    </row>
    <row r="997">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7">
        <v>6.0E-4</v>
      </c>
      <c r="BB997" s="2">
        <f t="shared" ref="BB997:BB1003" si="117">BB996-(BA996*2)</f>
        <v>9.5509</v>
      </c>
      <c r="BC997" s="293">
        <f t="shared" ref="BC997:BC1003" si="118">BC996-(BA996*2)</f>
        <v>9.5509</v>
      </c>
      <c r="BD997" s="2"/>
      <c r="BE997" s="7">
        <v>100.0</v>
      </c>
      <c r="BF997" s="2">
        <f t="shared" si="116"/>
        <v>955.09</v>
      </c>
      <c r="BG997" s="2">
        <v>955.0899999999999</v>
      </c>
      <c r="BH997" s="2">
        <f t="shared" si="113"/>
        <v>890</v>
      </c>
      <c r="BI997" s="2">
        <f t="shared" si="114"/>
        <v>811.8552482</v>
      </c>
      <c r="BJ997" s="2">
        <f t="shared" si="115"/>
        <v>0.3134305321</v>
      </c>
      <c r="BK997" s="2"/>
      <c r="BL997" s="2"/>
    </row>
    <row r="998">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7">
        <v>0.088</v>
      </c>
      <c r="BB998" s="2">
        <f t="shared" si="117"/>
        <v>9.5497</v>
      </c>
      <c r="BC998" s="293">
        <f t="shared" si="118"/>
        <v>9.5497</v>
      </c>
      <c r="BD998" s="2"/>
      <c r="BE998" s="7">
        <v>100.0</v>
      </c>
      <c r="BF998" s="2">
        <f t="shared" si="116"/>
        <v>954.97</v>
      </c>
      <c r="BG998" s="2">
        <v>954.9699999999998</v>
      </c>
      <c r="BH998" s="2">
        <f t="shared" si="113"/>
        <v>889.88</v>
      </c>
      <c r="BI998" s="2">
        <f t="shared" si="114"/>
        <v>811.5418177</v>
      </c>
      <c r="BJ998" s="2">
        <f t="shared" si="115"/>
        <v>45.10207744</v>
      </c>
      <c r="BK998" s="2"/>
      <c r="BL998" s="2"/>
    </row>
    <row r="999">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90">
        <v>0.012</v>
      </c>
      <c r="BB999" s="2">
        <f t="shared" si="117"/>
        <v>9.3737</v>
      </c>
      <c r="BC999" s="293">
        <f t="shared" si="118"/>
        <v>9.3737</v>
      </c>
      <c r="BD999" s="2"/>
      <c r="BE999" s="7">
        <v>100.0</v>
      </c>
      <c r="BF999" s="2">
        <f t="shared" si="116"/>
        <v>937.37</v>
      </c>
      <c r="BG999" s="2">
        <v>937.3699999999998</v>
      </c>
      <c r="BH999" s="2">
        <f t="shared" si="113"/>
        <v>872.28</v>
      </c>
      <c r="BI999" s="2">
        <f t="shared" si="114"/>
        <v>766.4397402</v>
      </c>
      <c r="BJ999" s="2">
        <f t="shared" si="115"/>
        <v>6.017696727</v>
      </c>
      <c r="BK999" s="2"/>
      <c r="BL999" s="2"/>
    </row>
    <row r="1000">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7">
        <v>0.012</v>
      </c>
      <c r="BB1000" s="2">
        <f t="shared" si="117"/>
        <v>9.3497</v>
      </c>
      <c r="BC1000" s="293">
        <f t="shared" si="118"/>
        <v>9.3497</v>
      </c>
      <c r="BD1000" s="2"/>
      <c r="BE1000" s="7">
        <v>100.0</v>
      </c>
      <c r="BF1000" s="2">
        <f t="shared" si="116"/>
        <v>934.97</v>
      </c>
      <c r="BG1000" s="2">
        <v>934.9699999999998</v>
      </c>
      <c r="BH1000" s="2">
        <f t="shared" si="113"/>
        <v>869.88</v>
      </c>
      <c r="BI1000" s="2">
        <f t="shared" si="114"/>
        <v>760.4220435</v>
      </c>
      <c r="BJ1000" s="2">
        <f t="shared" si="115"/>
        <v>5.986134</v>
      </c>
      <c r="BK1000" s="2"/>
      <c r="BL1000" s="2"/>
    </row>
    <row r="1001">
      <c r="A1001" s="1"/>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7">
        <v>0.366</v>
      </c>
      <c r="BB1001" s="2">
        <f t="shared" si="117"/>
        <v>9.3257</v>
      </c>
      <c r="BC1001" s="293">
        <f t="shared" si="118"/>
        <v>9.3257</v>
      </c>
      <c r="BD1001" s="2"/>
      <c r="BE1001" s="7">
        <v>100.0</v>
      </c>
      <c r="BF1001" s="2">
        <f t="shared" si="116"/>
        <v>932.57</v>
      </c>
      <c r="BG1001" s="2">
        <v>932.5699999999999</v>
      </c>
      <c r="BH1001" s="2">
        <f t="shared" si="113"/>
        <v>867.48</v>
      </c>
      <c r="BI1001" s="2">
        <f t="shared" si="114"/>
        <v>754.4359095</v>
      </c>
      <c r="BJ1001" s="2">
        <f t="shared" si="115"/>
        <v>167.8467881</v>
      </c>
      <c r="BK1001" s="2"/>
      <c r="BL1001" s="2"/>
    </row>
    <row r="1002">
      <c r="A1002" s="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7">
        <v>0.012</v>
      </c>
      <c r="BB1002" s="2">
        <f t="shared" si="117"/>
        <v>8.5937</v>
      </c>
      <c r="BC1002" s="293">
        <f t="shared" si="118"/>
        <v>8.5937</v>
      </c>
      <c r="BD1002" s="2"/>
      <c r="BE1002" s="7">
        <v>100.0</v>
      </c>
      <c r="BF1002" s="2">
        <f t="shared" si="116"/>
        <v>859.37</v>
      </c>
      <c r="BG1002" s="2">
        <v>859.37</v>
      </c>
      <c r="BH1002" s="2">
        <f t="shared" si="113"/>
        <v>794.28</v>
      </c>
      <c r="BI1002" s="2">
        <f t="shared" si="114"/>
        <v>586.5891214</v>
      </c>
      <c r="BJ1002" s="2">
        <f t="shared" si="115"/>
        <v>5.034365079</v>
      </c>
      <c r="BK1002" s="2"/>
      <c r="BL1002" s="2"/>
    </row>
    <row r="1003">
      <c r="A1003" s="1"/>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7">
        <v>0.0012</v>
      </c>
      <c r="BB1003" s="2">
        <f t="shared" si="117"/>
        <v>8.5697</v>
      </c>
      <c r="BC1003" s="293">
        <f t="shared" si="118"/>
        <v>8.5697</v>
      </c>
      <c r="BD1003" s="2"/>
      <c r="BE1003" s="7">
        <v>100.0</v>
      </c>
      <c r="BF1003" s="2">
        <f t="shared" si="116"/>
        <v>856.97</v>
      </c>
      <c r="BG1003" s="151">
        <v>856.97</v>
      </c>
      <c r="BH1003" s="2">
        <f t="shared" si="113"/>
        <v>791.88</v>
      </c>
      <c r="BI1003" s="2">
        <f t="shared" si="114"/>
        <v>581.5547564</v>
      </c>
      <c r="BJ1003" s="2">
        <f t="shared" si="115"/>
        <v>0.4147563631</v>
      </c>
      <c r="BK1003" s="2"/>
      <c r="BL1003" s="2"/>
    </row>
    <row r="1004">
      <c r="A1004" s="1"/>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f>SUM(BA995:BA1003)</f>
        <v>0.7918</v>
      </c>
      <c r="BB1004" s="44">
        <v>857.69</v>
      </c>
      <c r="BC1004" s="2"/>
      <c r="BD1004" s="2"/>
      <c r="BE1004" s="2"/>
      <c r="BF1004" s="2"/>
      <c r="BG1004" s="2"/>
      <c r="BH1004" s="2"/>
      <c r="BI1004" s="7">
        <v>581.14</v>
      </c>
      <c r="BJ1004" s="2">
        <f t="shared" si="115"/>
        <v>581.14</v>
      </c>
      <c r="BK1004" s="2"/>
      <c r="BL1004" s="2"/>
    </row>
    <row r="1005">
      <c r="A1005" s="1"/>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row>
    <row r="1006">
      <c r="A1006" s="1"/>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90" t="s">
        <v>278</v>
      </c>
      <c r="BB1006" s="290" t="s">
        <v>284</v>
      </c>
      <c r="BC1006" s="290" t="s">
        <v>285</v>
      </c>
      <c r="BD1006" s="2"/>
      <c r="BE1006" s="2"/>
      <c r="BF1006" s="7" t="s">
        <v>319</v>
      </c>
      <c r="BG1006" s="2"/>
      <c r="BH1006" s="2"/>
      <c r="BI1006" s="2"/>
      <c r="BJ1006" s="2"/>
      <c r="BK1006" s="2"/>
      <c r="BL1006" s="2"/>
    </row>
    <row r="1007">
      <c r="A1007" s="1"/>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7">
        <v>0.009</v>
      </c>
      <c r="BB1007" s="2">
        <f>10148/1000</f>
        <v>10.148</v>
      </c>
      <c r="BC1007" s="290">
        <v>9.5</v>
      </c>
      <c r="BD1007" s="2"/>
      <c r="BE1007" s="2"/>
      <c r="BF1007" s="7" t="s">
        <v>320</v>
      </c>
      <c r="BG1007" s="2"/>
      <c r="BH1007" s="2"/>
      <c r="BI1007" s="2"/>
      <c r="BJ1007" s="2"/>
      <c r="BK1007" s="2"/>
      <c r="BL1007" s="2"/>
    </row>
    <row r="1008">
      <c r="A1008" s="1"/>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7">
        <v>0.291</v>
      </c>
      <c r="BB1008" s="2">
        <f>10148/1000-(BA1007*2)</f>
        <v>10.13</v>
      </c>
      <c r="BC1008" s="290">
        <f t="shared" ref="BC1008:BC1015" si="119">BC1007-(BA1007*2)</f>
        <v>9.482</v>
      </c>
      <c r="BD1008" s="2"/>
      <c r="BE1008" s="2"/>
      <c r="BF1008" s="7" t="s">
        <v>321</v>
      </c>
      <c r="BG1008" s="2"/>
      <c r="BH1008" s="2"/>
      <c r="BI1008" s="2"/>
      <c r="BJ1008" s="2"/>
      <c r="BK1008" s="2"/>
      <c r="BL1008" s="2"/>
    </row>
    <row r="1009">
      <c r="A1009" s="1"/>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7">
        <v>6.0E-4</v>
      </c>
      <c r="BB1009" s="2">
        <f t="shared" ref="BB1009:BB1015" si="120">BB1008-(BA1008*2)</f>
        <v>9.548</v>
      </c>
      <c r="BC1009" s="290">
        <f t="shared" si="119"/>
        <v>8.9</v>
      </c>
      <c r="BD1009" s="2"/>
      <c r="BE1009" s="2"/>
      <c r="BF1009" s="7" t="s">
        <v>322</v>
      </c>
      <c r="BG1009" s="2"/>
      <c r="BH1009" s="2"/>
      <c r="BI1009" s="2"/>
      <c r="BJ1009" s="2"/>
      <c r="BK1009" s="2"/>
      <c r="BL1009" s="2"/>
    </row>
    <row r="1010">
      <c r="A1010" s="1"/>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7">
        <v>0.088</v>
      </c>
      <c r="BB1010" s="2">
        <f t="shared" si="120"/>
        <v>9.5468</v>
      </c>
      <c r="BC1010" s="290">
        <f t="shared" si="119"/>
        <v>8.8988</v>
      </c>
      <c r="BD1010" s="2"/>
      <c r="BE1010" s="2"/>
      <c r="BF1010" s="7" t="s">
        <v>323</v>
      </c>
      <c r="BG1010" s="2"/>
      <c r="BH1010" s="2"/>
      <c r="BI1010" s="2"/>
      <c r="BJ1010" s="2"/>
      <c r="BK1010" s="2"/>
      <c r="BL1010" s="2"/>
    </row>
    <row r="1011">
      <c r="A1011" s="1"/>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90">
        <v>0.012</v>
      </c>
      <c r="BB1011" s="2">
        <f t="shared" si="120"/>
        <v>9.3708</v>
      </c>
      <c r="BC1011" s="290">
        <f t="shared" si="119"/>
        <v>8.7228</v>
      </c>
      <c r="BD1011" s="2"/>
      <c r="BE1011" s="2"/>
      <c r="BF1011" s="7" t="s">
        <v>324</v>
      </c>
      <c r="BG1011" s="2"/>
      <c r="BH1011" s="2"/>
      <c r="BI1011" s="2"/>
      <c r="BJ1011" s="2"/>
      <c r="BK1011" s="2"/>
      <c r="BL1011" s="2"/>
    </row>
    <row r="1012">
      <c r="A1012" s="1"/>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7">
        <v>0.012</v>
      </c>
      <c r="BB1012" s="2">
        <f t="shared" si="120"/>
        <v>9.3468</v>
      </c>
      <c r="BC1012" s="290">
        <f t="shared" si="119"/>
        <v>8.6988</v>
      </c>
      <c r="BD1012" s="2"/>
      <c r="BE1012" s="2"/>
      <c r="BF1012" s="7" t="s">
        <v>325</v>
      </c>
      <c r="BG1012" s="2"/>
      <c r="BH1012" s="2"/>
      <c r="BI1012" s="2"/>
      <c r="BJ1012" s="2"/>
      <c r="BK1012" s="2"/>
      <c r="BL1012" s="2"/>
    </row>
    <row r="1013">
      <c r="A1013" s="1"/>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7">
        <v>0.366</v>
      </c>
      <c r="BB1013" s="2">
        <f t="shared" si="120"/>
        <v>9.3228</v>
      </c>
      <c r="BC1013" s="290">
        <f t="shared" si="119"/>
        <v>8.6748</v>
      </c>
      <c r="BD1013" s="2"/>
      <c r="BE1013" s="2"/>
      <c r="BF1013" s="7" t="s">
        <v>326</v>
      </c>
      <c r="BG1013" s="2"/>
      <c r="BH1013" s="2"/>
      <c r="BI1013" s="2"/>
      <c r="BJ1013" s="2"/>
      <c r="BK1013" s="2"/>
      <c r="BL1013" s="2"/>
    </row>
    <row r="1014">
      <c r="A1014" s="1"/>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7">
        <v>0.012</v>
      </c>
      <c r="BB1014" s="2">
        <f t="shared" si="120"/>
        <v>8.5908</v>
      </c>
      <c r="BC1014" s="290">
        <f t="shared" si="119"/>
        <v>7.9428</v>
      </c>
      <c r="BD1014" s="2"/>
      <c r="BE1014" s="2"/>
      <c r="BF1014" s="7" t="s">
        <v>327</v>
      </c>
      <c r="BG1014" s="2"/>
      <c r="BH1014" s="2"/>
      <c r="BI1014" s="2"/>
      <c r="BJ1014" s="2"/>
      <c r="BK1014" s="2"/>
      <c r="BL1014" s="2"/>
    </row>
    <row r="1015">
      <c r="A1015" s="1"/>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7">
        <v>0.0012</v>
      </c>
      <c r="BB1015" s="2">
        <f t="shared" si="120"/>
        <v>8.5668</v>
      </c>
      <c r="BC1015" s="290">
        <f t="shared" si="119"/>
        <v>7.9188</v>
      </c>
      <c r="BD1015" s="2"/>
      <c r="BE1015" s="2"/>
      <c r="BF1015" s="2"/>
      <c r="BG1015" s="2"/>
      <c r="BH1015" s="2"/>
      <c r="BI1015" s="2"/>
      <c r="BJ1015" s="2"/>
      <c r="BK1015" s="2"/>
      <c r="BL1015" s="2"/>
    </row>
    <row r="1016">
      <c r="A1016" s="1"/>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row>
    <row r="1017">
      <c r="A1017" s="1"/>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row>
    <row r="1018">
      <c r="A1018" s="1"/>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90"/>
      <c r="BB1018" s="290" t="s">
        <v>14</v>
      </c>
      <c r="BC1018" s="290" t="s">
        <v>15</v>
      </c>
      <c r="BD1018" s="2"/>
      <c r="BE1018" s="2"/>
      <c r="BF1018" s="2"/>
      <c r="BG1018" s="2"/>
      <c r="BH1018" s="2"/>
      <c r="BI1018" s="2"/>
      <c r="BJ1018" s="2"/>
      <c r="BK1018" s="2"/>
      <c r="BL1018" s="2"/>
    </row>
    <row r="1019">
      <c r="A1019" s="1"/>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90">
        <v>0.8</v>
      </c>
      <c r="BB1019" s="290">
        <v>10.148</v>
      </c>
      <c r="BC1019" s="290">
        <v>10.148</v>
      </c>
      <c r="BD1019" s="2"/>
      <c r="BE1019" s="2"/>
      <c r="BF1019" s="2"/>
      <c r="BG1019" s="2"/>
      <c r="BH1019" s="2"/>
      <c r="BI1019" s="2"/>
      <c r="BJ1019" s="2"/>
      <c r="BK1019" s="2"/>
      <c r="BL1019" s="2"/>
    </row>
    <row r="1020">
      <c r="A1020" s="1"/>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90">
        <v>0.002</v>
      </c>
      <c r="BB1020" s="290">
        <v>10.148</v>
      </c>
      <c r="BC1020" s="290">
        <v>10.148</v>
      </c>
      <c r="BD1020" s="2"/>
      <c r="BE1020" s="2"/>
      <c r="BF1020" s="2"/>
      <c r="BG1020" s="2"/>
      <c r="BH1020" s="2"/>
      <c r="BI1020" s="2"/>
      <c r="BJ1020" s="2"/>
      <c r="BK1020" s="2"/>
      <c r="BL1020" s="2"/>
    </row>
    <row r="1021">
      <c r="A1021" s="1"/>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row>
    <row r="1022">
      <c r="A1022" s="1"/>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row>
  </sheetData>
  <mergeCells count="24">
    <mergeCell ref="I3:O3"/>
    <mergeCell ref="C4:H4"/>
    <mergeCell ref="Q4:S4"/>
    <mergeCell ref="W4:AH4"/>
    <mergeCell ref="AN4:AP4"/>
    <mergeCell ref="AT4:AV4"/>
    <mergeCell ref="AW4:AY4"/>
    <mergeCell ref="I4:O4"/>
    <mergeCell ref="I15:O15"/>
    <mergeCell ref="Q15:S15"/>
    <mergeCell ref="AK16:AL16"/>
    <mergeCell ref="AT19:AV19"/>
    <mergeCell ref="AT21:AV21"/>
    <mergeCell ref="AT22:AV22"/>
    <mergeCell ref="AE198:AO198"/>
    <mergeCell ref="AE210:AO210"/>
    <mergeCell ref="AE222:AO222"/>
    <mergeCell ref="W16:AI16"/>
    <mergeCell ref="W29:AH29"/>
    <mergeCell ref="I40:K40"/>
    <mergeCell ref="AK40:AL40"/>
    <mergeCell ref="AN54:AR54"/>
    <mergeCell ref="AN63:AR63"/>
    <mergeCell ref="K148:O148"/>
  </mergeCells>
  <hyperlinks>
    <hyperlink r:id="rId2" ref="W16"/>
    <hyperlink r:id="rId3" ref="Q29"/>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3" max="3" width="8.88"/>
    <col customWidth="1" min="4" max="4" width="13.13"/>
    <col customWidth="1" min="5" max="6" width="5.88"/>
    <col customWidth="1" min="7" max="8" width="5.5"/>
    <col customWidth="1" min="9" max="9" width="5.0"/>
    <col customWidth="1" min="10" max="10" width="5.5"/>
    <col customWidth="1" min="11" max="11" width="7.5"/>
    <col customWidth="1" min="12" max="12" width="5.13"/>
    <col customWidth="1" min="13" max="13" width="6.0"/>
    <col customWidth="1" min="14" max="14" width="10.13"/>
    <col customWidth="1" min="17" max="17" width="13.25"/>
    <col customWidth="1" min="18" max="18" width="13.13"/>
    <col customWidth="1" min="22" max="22" width="6.25"/>
    <col customWidth="1" min="24" max="24" width="8.13"/>
    <col customWidth="1" min="25" max="25" width="12.25"/>
    <col customWidth="1" min="26" max="26" width="7.5"/>
    <col customWidth="1" min="27" max="27" width="8.75"/>
    <col customWidth="1" min="28" max="28" width="8.88"/>
    <col customWidth="1" min="29" max="29" width="6.25"/>
    <col customWidth="1" min="30" max="30" width="6.0"/>
    <col customWidth="1" min="31" max="32" width="7.63"/>
    <col customWidth="1" min="33" max="33" width="6.13"/>
    <col customWidth="1" min="34" max="34" width="6.5"/>
    <col customWidth="1" min="35" max="35" width="11.38"/>
  </cols>
  <sheetData>
    <row r="1">
      <c r="R1" s="44">
        <v>10.48</v>
      </c>
      <c r="U1" s="147">
        <f>R1+R2</f>
        <v>18.16031027</v>
      </c>
      <c r="V1" s="147">
        <f>U1*7820</f>
        <v>142013.6263</v>
      </c>
      <c r="W1" s="147">
        <f>V1/1000</f>
        <v>142.0136263</v>
      </c>
      <c r="AM1" s="307" t="s">
        <v>235</v>
      </c>
      <c r="AN1" s="307" t="s">
        <v>328</v>
      </c>
      <c r="AO1" s="307" t="s">
        <v>240</v>
      </c>
    </row>
    <row r="2">
      <c r="Q2" s="44" t="s">
        <v>329</v>
      </c>
      <c r="R2" s="147">
        <f>SUM(N10,N20,N30,N40,N50,N60,AI10,AI20,AI30,AI40,AI50,AI60)</f>
        <v>7.680310272</v>
      </c>
      <c r="S2" s="147">
        <f>R2*7820</f>
        <v>60060.02633</v>
      </c>
      <c r="T2" s="147">
        <f>S2/1000</f>
        <v>60.06002633</v>
      </c>
      <c r="AM2" s="158"/>
      <c r="AN2" s="158">
        <f>SUM(AM3:AM190)</f>
        <v>25.27051608</v>
      </c>
      <c r="AO2" s="158">
        <f>(AN2*7820)/1000</f>
        <v>197.6154358</v>
      </c>
    </row>
    <row r="3">
      <c r="B3" s="308" t="s">
        <v>330</v>
      </c>
      <c r="C3" s="309" t="s">
        <v>331</v>
      </c>
      <c r="D3" s="309" t="s">
        <v>332</v>
      </c>
      <c r="E3" s="309" t="s">
        <v>333</v>
      </c>
      <c r="F3" s="309" t="s">
        <v>334</v>
      </c>
      <c r="G3" s="309" t="s">
        <v>335</v>
      </c>
      <c r="H3" s="309" t="s">
        <v>336</v>
      </c>
      <c r="I3" s="309" t="s">
        <v>337</v>
      </c>
      <c r="J3" s="309" t="s">
        <v>338</v>
      </c>
      <c r="K3" s="309" t="s">
        <v>339</v>
      </c>
      <c r="L3" s="309" t="s">
        <v>340</v>
      </c>
      <c r="M3" s="309" t="s">
        <v>341</v>
      </c>
      <c r="N3" s="309" t="s">
        <v>235</v>
      </c>
      <c r="O3" s="309" t="s">
        <v>342</v>
      </c>
      <c r="P3" s="309" t="s">
        <v>229</v>
      </c>
      <c r="Q3" s="310"/>
      <c r="R3" s="311" t="s">
        <v>240</v>
      </c>
      <c r="W3" s="308" t="s">
        <v>330</v>
      </c>
      <c r="X3" s="309" t="s">
        <v>331</v>
      </c>
      <c r="Y3" s="309" t="s">
        <v>332</v>
      </c>
      <c r="Z3" s="309" t="s">
        <v>333</v>
      </c>
      <c r="AA3" s="309" t="s">
        <v>334</v>
      </c>
      <c r="AB3" s="309" t="s">
        <v>335</v>
      </c>
      <c r="AC3" s="309" t="s">
        <v>336</v>
      </c>
      <c r="AD3" s="309" t="s">
        <v>337</v>
      </c>
      <c r="AE3" s="309" t="s">
        <v>338</v>
      </c>
      <c r="AF3" s="309" t="s">
        <v>339</v>
      </c>
      <c r="AG3" s="309" t="s">
        <v>340</v>
      </c>
      <c r="AH3" s="309" t="s">
        <v>341</v>
      </c>
      <c r="AI3" s="309" t="s">
        <v>235</v>
      </c>
      <c r="AJ3" s="309" t="s">
        <v>342</v>
      </c>
      <c r="AK3" s="309" t="s">
        <v>229</v>
      </c>
      <c r="AL3" s="310"/>
      <c r="AM3" s="158"/>
      <c r="AN3" s="158"/>
      <c r="AO3" s="158"/>
    </row>
    <row r="4">
      <c r="B4" s="312" t="s">
        <v>343</v>
      </c>
      <c r="C4" s="313"/>
      <c r="D4" s="314">
        <v>1.0</v>
      </c>
      <c r="E4" s="314">
        <v>570.2</v>
      </c>
      <c r="F4" s="314">
        <v>570.2</v>
      </c>
      <c r="G4" s="315">
        <f t="shared" ref="G4:G9" si="1">SUM(E4:F4)</f>
        <v>1140.4</v>
      </c>
      <c r="H4" s="316">
        <v>399.1</v>
      </c>
      <c r="I4" s="316">
        <v>400.9</v>
      </c>
      <c r="J4" s="313">
        <f t="shared" ref="J4:J9" si="2">I4-H4</f>
        <v>1.8</v>
      </c>
      <c r="K4" s="316">
        <v>511.2</v>
      </c>
      <c r="L4" s="316">
        <v>567.2</v>
      </c>
      <c r="M4" s="313">
        <f t="shared" ref="M4:M9" si="3">L4-K4</f>
        <v>56</v>
      </c>
      <c r="N4" s="313">
        <f t="shared" ref="N4:N9" si="4">(G4*J4*M4)/1000000</f>
        <v>0.11495232</v>
      </c>
      <c r="O4" s="316">
        <v>7820.0</v>
      </c>
      <c r="P4" s="313">
        <f t="shared" ref="P4:P9" si="5">N4*O4</f>
        <v>898.9271424</v>
      </c>
      <c r="Q4" s="317"/>
      <c r="R4" s="318">
        <f>SUM(P11,P21,P31,P41,P51,P61,AK11,AK21,AK31,AK41,AK51,AK61)</f>
        <v>60.06002633</v>
      </c>
      <c r="S4" s="319" t="s">
        <v>343</v>
      </c>
      <c r="T4" s="319" t="s">
        <v>344</v>
      </c>
      <c r="W4" s="312" t="s">
        <v>345</v>
      </c>
      <c r="X4" s="313"/>
      <c r="Y4" s="314">
        <v>1.0</v>
      </c>
      <c r="Z4" s="314">
        <v>-400.9</v>
      </c>
      <c r="AA4" s="314">
        <v>-399.1</v>
      </c>
      <c r="AB4" s="315">
        <f t="shared" ref="AB4:AB9" si="6">AA4-Z4</f>
        <v>1.8</v>
      </c>
      <c r="AC4" s="316">
        <v>535.0</v>
      </c>
      <c r="AD4" s="316">
        <v>535.0</v>
      </c>
      <c r="AE4" s="313">
        <f t="shared" ref="AE4:AE9" si="7">AD4+AC4</f>
        <v>1070</v>
      </c>
      <c r="AF4" s="316">
        <v>511.2</v>
      </c>
      <c r="AG4" s="316">
        <v>567.2</v>
      </c>
      <c r="AH4" s="313">
        <f t="shared" ref="AH4:AH9" si="8">AG4-AF4</f>
        <v>56</v>
      </c>
      <c r="AI4" s="313">
        <f t="shared" ref="AI4:AI9" si="9">(AB4*AE4*AH4)/1000000</f>
        <v>0.107856</v>
      </c>
      <c r="AJ4" s="316">
        <v>7820.0</v>
      </c>
      <c r="AK4" s="313">
        <f t="shared" ref="AK4:AK9" si="10">AI4*AJ4</f>
        <v>843.43392</v>
      </c>
      <c r="AL4" s="317"/>
      <c r="AM4" s="158"/>
      <c r="AN4" s="158"/>
      <c r="AO4" s="158"/>
    </row>
    <row r="5">
      <c r="B5" s="312" t="s">
        <v>346</v>
      </c>
      <c r="C5" s="313"/>
      <c r="D5" s="314">
        <v>2.0</v>
      </c>
      <c r="E5" s="314">
        <v>570.2</v>
      </c>
      <c r="F5" s="314">
        <v>570.2</v>
      </c>
      <c r="G5" s="315">
        <f t="shared" si="1"/>
        <v>1140.4</v>
      </c>
      <c r="H5" s="316">
        <v>239.1</v>
      </c>
      <c r="I5" s="316">
        <v>240.9</v>
      </c>
      <c r="J5" s="313">
        <f t="shared" si="2"/>
        <v>1.8</v>
      </c>
      <c r="K5" s="316">
        <v>511.2</v>
      </c>
      <c r="L5" s="316">
        <v>567.2</v>
      </c>
      <c r="M5" s="313">
        <f t="shared" si="3"/>
        <v>56</v>
      </c>
      <c r="N5" s="313">
        <f t="shared" si="4"/>
        <v>0.11495232</v>
      </c>
      <c r="O5" s="316">
        <v>7820.0</v>
      </c>
      <c r="P5" s="313">
        <f t="shared" si="5"/>
        <v>898.9271424</v>
      </c>
      <c r="Q5" s="317"/>
      <c r="S5" s="319" t="s">
        <v>346</v>
      </c>
      <c r="T5" s="319" t="s">
        <v>344</v>
      </c>
      <c r="W5" s="312" t="s">
        <v>347</v>
      </c>
      <c r="X5" s="313"/>
      <c r="Y5" s="314">
        <v>2.0</v>
      </c>
      <c r="Z5" s="314">
        <v>-240.9</v>
      </c>
      <c r="AA5" s="314">
        <v>-239.1</v>
      </c>
      <c r="AB5" s="315">
        <f t="shared" si="6"/>
        <v>1.8</v>
      </c>
      <c r="AC5" s="316">
        <v>535.0</v>
      </c>
      <c r="AD5" s="316">
        <v>535.0</v>
      </c>
      <c r="AE5" s="313">
        <f t="shared" si="7"/>
        <v>1070</v>
      </c>
      <c r="AF5" s="316">
        <v>511.2</v>
      </c>
      <c r="AG5" s="316">
        <v>567.2</v>
      </c>
      <c r="AH5" s="313">
        <f t="shared" si="8"/>
        <v>56</v>
      </c>
      <c r="AI5" s="313">
        <f t="shared" si="9"/>
        <v>0.107856</v>
      </c>
      <c r="AJ5" s="316">
        <v>7820.0</v>
      </c>
      <c r="AK5" s="313">
        <f t="shared" si="10"/>
        <v>843.43392</v>
      </c>
      <c r="AL5" s="317"/>
      <c r="AM5" s="158"/>
      <c r="AN5" s="158"/>
      <c r="AO5" s="158"/>
    </row>
    <row r="6">
      <c r="B6" s="312" t="s">
        <v>348</v>
      </c>
      <c r="C6" s="313"/>
      <c r="D6" s="314">
        <v>3.0</v>
      </c>
      <c r="E6" s="314">
        <v>570.2</v>
      </c>
      <c r="F6" s="314">
        <v>570.2</v>
      </c>
      <c r="G6" s="315">
        <f t="shared" si="1"/>
        <v>1140.4</v>
      </c>
      <c r="H6" s="316">
        <v>79.1</v>
      </c>
      <c r="I6" s="316">
        <v>80.9</v>
      </c>
      <c r="J6" s="313">
        <f t="shared" si="2"/>
        <v>1.8</v>
      </c>
      <c r="K6" s="316">
        <v>511.2</v>
      </c>
      <c r="L6" s="316">
        <v>567.2</v>
      </c>
      <c r="M6" s="313">
        <f t="shared" si="3"/>
        <v>56</v>
      </c>
      <c r="N6" s="313">
        <f t="shared" si="4"/>
        <v>0.11495232</v>
      </c>
      <c r="O6" s="316">
        <v>7820.0</v>
      </c>
      <c r="P6" s="313">
        <f t="shared" si="5"/>
        <v>898.9271424</v>
      </c>
      <c r="Q6" s="317"/>
      <c r="S6" s="319" t="s">
        <v>348</v>
      </c>
      <c r="T6" s="319" t="s">
        <v>344</v>
      </c>
      <c r="W6" s="312" t="s">
        <v>349</v>
      </c>
      <c r="X6" s="313"/>
      <c r="Y6" s="314">
        <v>3.0</v>
      </c>
      <c r="Z6" s="314">
        <v>-80.9</v>
      </c>
      <c r="AA6" s="314">
        <v>-79.1</v>
      </c>
      <c r="AB6" s="315">
        <f t="shared" si="6"/>
        <v>1.8</v>
      </c>
      <c r="AC6" s="316">
        <v>535.0</v>
      </c>
      <c r="AD6" s="316">
        <v>535.0</v>
      </c>
      <c r="AE6" s="313">
        <f t="shared" si="7"/>
        <v>1070</v>
      </c>
      <c r="AF6" s="316">
        <v>511.2</v>
      </c>
      <c r="AG6" s="316">
        <v>567.2</v>
      </c>
      <c r="AH6" s="313">
        <f t="shared" si="8"/>
        <v>56</v>
      </c>
      <c r="AI6" s="313">
        <f t="shared" si="9"/>
        <v>0.107856</v>
      </c>
      <c r="AJ6" s="316">
        <v>7820.0</v>
      </c>
      <c r="AK6" s="313">
        <f t="shared" si="10"/>
        <v>843.43392</v>
      </c>
      <c r="AL6" s="317"/>
      <c r="AM6" s="158"/>
      <c r="AN6" s="158"/>
      <c r="AO6" s="158"/>
    </row>
    <row r="7">
      <c r="B7" s="312" t="s">
        <v>350</v>
      </c>
      <c r="C7" s="313"/>
      <c r="D7" s="314">
        <v>4.0</v>
      </c>
      <c r="E7" s="314">
        <v>570.2</v>
      </c>
      <c r="F7" s="314">
        <v>570.2</v>
      </c>
      <c r="G7" s="315">
        <f t="shared" si="1"/>
        <v>1140.4</v>
      </c>
      <c r="H7" s="316">
        <v>-80.9</v>
      </c>
      <c r="I7" s="316">
        <v>-79.1</v>
      </c>
      <c r="J7" s="313">
        <f t="shared" si="2"/>
        <v>1.8</v>
      </c>
      <c r="K7" s="316">
        <v>511.2</v>
      </c>
      <c r="L7" s="316">
        <v>567.2</v>
      </c>
      <c r="M7" s="313">
        <f t="shared" si="3"/>
        <v>56</v>
      </c>
      <c r="N7" s="313">
        <f t="shared" si="4"/>
        <v>0.11495232</v>
      </c>
      <c r="O7" s="316">
        <v>7820.0</v>
      </c>
      <c r="P7" s="313">
        <f t="shared" si="5"/>
        <v>898.9271424</v>
      </c>
      <c r="Q7" s="317"/>
      <c r="S7" s="319" t="s">
        <v>350</v>
      </c>
      <c r="T7" s="319" t="s">
        <v>344</v>
      </c>
      <c r="W7" s="312" t="s">
        <v>351</v>
      </c>
      <c r="X7" s="313"/>
      <c r="Y7" s="314">
        <v>4.0</v>
      </c>
      <c r="Z7" s="314">
        <v>79.1</v>
      </c>
      <c r="AA7" s="314">
        <v>80.9</v>
      </c>
      <c r="AB7" s="315">
        <f t="shared" si="6"/>
        <v>1.8</v>
      </c>
      <c r="AC7" s="316">
        <v>535.0</v>
      </c>
      <c r="AD7" s="316">
        <v>535.0</v>
      </c>
      <c r="AE7" s="313">
        <f t="shared" si="7"/>
        <v>1070</v>
      </c>
      <c r="AF7" s="316">
        <v>511.2</v>
      </c>
      <c r="AG7" s="316">
        <v>567.2</v>
      </c>
      <c r="AH7" s="313">
        <f t="shared" si="8"/>
        <v>56</v>
      </c>
      <c r="AI7" s="313">
        <f t="shared" si="9"/>
        <v>0.107856</v>
      </c>
      <c r="AJ7" s="316">
        <v>7820.0</v>
      </c>
      <c r="AK7" s="313">
        <f t="shared" si="10"/>
        <v>843.43392</v>
      </c>
      <c r="AL7" s="317"/>
      <c r="AM7" s="158"/>
      <c r="AN7" s="158"/>
      <c r="AO7" s="158"/>
    </row>
    <row r="8">
      <c r="B8" s="312" t="s">
        <v>352</v>
      </c>
      <c r="C8" s="313"/>
      <c r="D8" s="314">
        <v>5.0</v>
      </c>
      <c r="E8" s="314">
        <v>570.2</v>
      </c>
      <c r="F8" s="314">
        <v>570.2</v>
      </c>
      <c r="G8" s="315">
        <f t="shared" si="1"/>
        <v>1140.4</v>
      </c>
      <c r="H8" s="316">
        <v>-240.9</v>
      </c>
      <c r="I8" s="316">
        <v>-239.1</v>
      </c>
      <c r="J8" s="313">
        <f t="shared" si="2"/>
        <v>1.8</v>
      </c>
      <c r="K8" s="316">
        <v>511.2</v>
      </c>
      <c r="L8" s="316">
        <v>567.2</v>
      </c>
      <c r="M8" s="313">
        <f t="shared" si="3"/>
        <v>56</v>
      </c>
      <c r="N8" s="313">
        <f t="shared" si="4"/>
        <v>0.11495232</v>
      </c>
      <c r="O8" s="316">
        <v>7820.0</v>
      </c>
      <c r="P8" s="313">
        <f t="shared" si="5"/>
        <v>898.9271424</v>
      </c>
      <c r="Q8" s="317"/>
      <c r="S8" s="319" t="s">
        <v>352</v>
      </c>
      <c r="T8" s="319" t="s">
        <v>344</v>
      </c>
      <c r="W8" s="312" t="s">
        <v>353</v>
      </c>
      <c r="X8" s="313"/>
      <c r="Y8" s="314">
        <v>5.0</v>
      </c>
      <c r="Z8" s="314">
        <v>239.1</v>
      </c>
      <c r="AA8" s="314">
        <v>240.9</v>
      </c>
      <c r="AB8" s="315">
        <f t="shared" si="6"/>
        <v>1.8</v>
      </c>
      <c r="AC8" s="316">
        <v>535.0</v>
      </c>
      <c r="AD8" s="316">
        <v>535.0</v>
      </c>
      <c r="AE8" s="313">
        <f t="shared" si="7"/>
        <v>1070</v>
      </c>
      <c r="AF8" s="316">
        <v>511.2</v>
      </c>
      <c r="AG8" s="316">
        <v>567.2</v>
      </c>
      <c r="AH8" s="313">
        <f t="shared" si="8"/>
        <v>56</v>
      </c>
      <c r="AI8" s="313">
        <f t="shared" si="9"/>
        <v>0.107856</v>
      </c>
      <c r="AJ8" s="316">
        <v>7820.0</v>
      </c>
      <c r="AK8" s="313">
        <f t="shared" si="10"/>
        <v>843.43392</v>
      </c>
      <c r="AL8" s="317"/>
      <c r="AM8" s="158"/>
      <c r="AN8" s="158"/>
      <c r="AO8" s="158"/>
    </row>
    <row r="9">
      <c r="B9" s="312" t="s">
        <v>354</v>
      </c>
      <c r="C9" s="313"/>
      <c r="D9" s="314">
        <v>6.0</v>
      </c>
      <c r="E9" s="314">
        <v>570.2</v>
      </c>
      <c r="F9" s="314">
        <v>570.2</v>
      </c>
      <c r="G9" s="315">
        <f t="shared" si="1"/>
        <v>1140.4</v>
      </c>
      <c r="H9" s="316">
        <v>-400.9</v>
      </c>
      <c r="I9" s="316">
        <v>-399.1</v>
      </c>
      <c r="J9" s="313">
        <f t="shared" si="2"/>
        <v>1.8</v>
      </c>
      <c r="K9" s="316">
        <v>511.2</v>
      </c>
      <c r="L9" s="316">
        <v>567.2</v>
      </c>
      <c r="M9" s="313">
        <f t="shared" si="3"/>
        <v>56</v>
      </c>
      <c r="N9" s="313">
        <f t="shared" si="4"/>
        <v>0.11495232</v>
      </c>
      <c r="O9" s="316">
        <v>7820.0</v>
      </c>
      <c r="P9" s="313">
        <f t="shared" si="5"/>
        <v>898.9271424</v>
      </c>
      <c r="Q9" s="317"/>
      <c r="S9" s="319" t="s">
        <v>354</v>
      </c>
      <c r="T9" s="319" t="s">
        <v>344</v>
      </c>
      <c r="W9" s="312" t="s">
        <v>355</v>
      </c>
      <c r="X9" s="313"/>
      <c r="Y9" s="314">
        <v>6.0</v>
      </c>
      <c r="Z9" s="314">
        <v>399.1</v>
      </c>
      <c r="AA9" s="314">
        <v>400.9</v>
      </c>
      <c r="AB9" s="315">
        <f t="shared" si="6"/>
        <v>1.8</v>
      </c>
      <c r="AC9" s="316">
        <v>535.0</v>
      </c>
      <c r="AD9" s="316">
        <v>535.0</v>
      </c>
      <c r="AE9" s="313">
        <f t="shared" si="7"/>
        <v>1070</v>
      </c>
      <c r="AF9" s="316">
        <v>511.2</v>
      </c>
      <c r="AG9" s="316">
        <v>567.2</v>
      </c>
      <c r="AH9" s="313">
        <f t="shared" si="8"/>
        <v>56</v>
      </c>
      <c r="AI9" s="313">
        <f t="shared" si="9"/>
        <v>0.107856</v>
      </c>
      <c r="AJ9" s="316">
        <v>7820.0</v>
      </c>
      <c r="AK9" s="313">
        <f t="shared" si="10"/>
        <v>843.43392</v>
      </c>
      <c r="AL9" s="317"/>
      <c r="AM9" s="158"/>
      <c r="AN9" s="158"/>
      <c r="AO9" s="158"/>
    </row>
    <row r="10">
      <c r="B10" s="320"/>
      <c r="C10" s="313"/>
      <c r="D10" s="316" t="s">
        <v>294</v>
      </c>
      <c r="E10" s="313"/>
      <c r="F10" s="313"/>
      <c r="G10" s="313"/>
      <c r="H10" s="313"/>
      <c r="I10" s="313"/>
      <c r="J10" s="313"/>
      <c r="K10" s="313"/>
      <c r="L10" s="313"/>
      <c r="M10" s="313"/>
      <c r="N10" s="313">
        <f>SUM(N4:N9)</f>
        <v>0.68971392</v>
      </c>
      <c r="O10" s="313"/>
      <c r="P10" s="313">
        <f>SUM(P4:P9)</f>
        <v>5393.562854</v>
      </c>
      <c r="Q10" s="317"/>
      <c r="S10" s="321"/>
      <c r="T10" s="321"/>
      <c r="U10" s="321"/>
      <c r="V10" s="321"/>
      <c r="W10" s="320"/>
      <c r="X10" s="313"/>
      <c r="Y10" s="316" t="s">
        <v>294</v>
      </c>
      <c r="Z10" s="313"/>
      <c r="AA10" s="313"/>
      <c r="AB10" s="313"/>
      <c r="AC10" s="313"/>
      <c r="AD10" s="313"/>
      <c r="AE10" s="313"/>
      <c r="AF10" s="313"/>
      <c r="AG10" s="313"/>
      <c r="AH10" s="313"/>
      <c r="AI10" s="313">
        <f>SUM(AI4:AI9)</f>
        <v>0.647136</v>
      </c>
      <c r="AJ10" s="313"/>
      <c r="AK10" s="313">
        <f>SUM(AK4:AK9)</f>
        <v>5060.60352</v>
      </c>
      <c r="AL10" s="317"/>
      <c r="AM10" s="158">
        <f>AI10+N10</f>
        <v>1.33684992</v>
      </c>
      <c r="AN10" s="158"/>
      <c r="AO10" s="158"/>
    </row>
    <row r="11">
      <c r="B11" s="320"/>
      <c r="C11" s="313"/>
      <c r="D11" s="313"/>
      <c r="E11" s="313"/>
      <c r="F11" s="313"/>
      <c r="G11" s="313"/>
      <c r="H11" s="313"/>
      <c r="I11" s="313"/>
      <c r="J11" s="313"/>
      <c r="K11" s="313"/>
      <c r="L11" s="313"/>
      <c r="M11" s="313"/>
      <c r="N11" s="313"/>
      <c r="O11" s="313"/>
      <c r="P11" s="313">
        <f>P10/1000</f>
        <v>5.393562854</v>
      </c>
      <c r="Q11" s="322" t="s">
        <v>356</v>
      </c>
      <c r="S11" s="321"/>
      <c r="T11" s="321"/>
      <c r="U11" s="321"/>
      <c r="V11" s="321"/>
      <c r="W11" s="320"/>
      <c r="X11" s="313"/>
      <c r="Y11" s="313"/>
      <c r="Z11" s="313"/>
      <c r="AA11" s="313"/>
      <c r="AB11" s="313"/>
      <c r="AC11" s="313"/>
      <c r="AD11" s="313"/>
      <c r="AE11" s="313"/>
      <c r="AF11" s="313"/>
      <c r="AG11" s="313"/>
      <c r="AH11" s="313"/>
      <c r="AI11" s="313"/>
      <c r="AJ11" s="313"/>
      <c r="AK11" s="313">
        <f>AK10/1000</f>
        <v>5.06060352</v>
      </c>
      <c r="AL11" s="322" t="s">
        <v>356</v>
      </c>
      <c r="AM11" s="307"/>
      <c r="AN11" s="307"/>
      <c r="AO11" s="307"/>
    </row>
    <row r="12">
      <c r="B12" s="320"/>
      <c r="C12" s="313"/>
      <c r="D12" s="313"/>
      <c r="E12" s="313"/>
      <c r="F12" s="313"/>
      <c r="G12" s="313"/>
      <c r="H12" s="313"/>
      <c r="I12" s="313"/>
      <c r="J12" s="313"/>
      <c r="K12" s="313"/>
      <c r="L12" s="313"/>
      <c r="M12" s="313"/>
      <c r="N12" s="313"/>
      <c r="O12" s="313"/>
      <c r="P12" s="313"/>
      <c r="Q12" s="322"/>
      <c r="S12" s="321"/>
      <c r="T12" s="321"/>
      <c r="U12" s="321"/>
      <c r="V12" s="321"/>
      <c r="W12" s="320"/>
      <c r="X12" s="313"/>
      <c r="Y12" s="313"/>
      <c r="Z12" s="313"/>
      <c r="AA12" s="313"/>
      <c r="AB12" s="313"/>
      <c r="AC12" s="313"/>
      <c r="AD12" s="313"/>
      <c r="AE12" s="313"/>
      <c r="AF12" s="313"/>
      <c r="AG12" s="313"/>
      <c r="AH12" s="313"/>
      <c r="AI12" s="313"/>
      <c r="AJ12" s="313"/>
      <c r="AK12" s="313"/>
      <c r="AL12" s="322"/>
      <c r="AM12" s="307"/>
      <c r="AN12" s="307"/>
      <c r="AO12" s="307"/>
    </row>
    <row r="13">
      <c r="B13" s="323" t="s">
        <v>330</v>
      </c>
      <c r="C13" s="316" t="s">
        <v>357</v>
      </c>
      <c r="D13" s="316" t="s">
        <v>332</v>
      </c>
      <c r="E13" s="316" t="s">
        <v>333</v>
      </c>
      <c r="F13" s="316" t="s">
        <v>334</v>
      </c>
      <c r="G13" s="316" t="s">
        <v>335</v>
      </c>
      <c r="H13" s="316" t="s">
        <v>336</v>
      </c>
      <c r="I13" s="316" t="s">
        <v>337</v>
      </c>
      <c r="J13" s="316" t="s">
        <v>338</v>
      </c>
      <c r="K13" s="316" t="s">
        <v>339</v>
      </c>
      <c r="L13" s="316" t="s">
        <v>340</v>
      </c>
      <c r="M13" s="316" t="s">
        <v>341</v>
      </c>
      <c r="N13" s="316" t="s">
        <v>235</v>
      </c>
      <c r="O13" s="316" t="s">
        <v>342</v>
      </c>
      <c r="P13" s="316" t="s">
        <v>229</v>
      </c>
      <c r="Q13" s="317"/>
      <c r="S13" s="321"/>
      <c r="T13" s="321"/>
      <c r="U13" s="321"/>
      <c r="V13" s="321"/>
      <c r="W13" s="323" t="s">
        <v>330</v>
      </c>
      <c r="X13" s="316" t="s">
        <v>357</v>
      </c>
      <c r="Y13" s="316" t="s">
        <v>332</v>
      </c>
      <c r="Z13" s="316" t="s">
        <v>333</v>
      </c>
      <c r="AA13" s="316" t="s">
        <v>334</v>
      </c>
      <c r="AB13" s="316" t="s">
        <v>335</v>
      </c>
      <c r="AC13" s="316" t="s">
        <v>336</v>
      </c>
      <c r="AD13" s="316" t="s">
        <v>337</v>
      </c>
      <c r="AE13" s="316" t="s">
        <v>338</v>
      </c>
      <c r="AF13" s="316" t="s">
        <v>339</v>
      </c>
      <c r="AG13" s="316" t="s">
        <v>340</v>
      </c>
      <c r="AH13" s="316" t="s">
        <v>341</v>
      </c>
      <c r="AI13" s="316" t="s">
        <v>235</v>
      </c>
      <c r="AJ13" s="316" t="s">
        <v>342</v>
      </c>
      <c r="AK13" s="316" t="s">
        <v>229</v>
      </c>
      <c r="AL13" s="317"/>
      <c r="AM13" s="158"/>
      <c r="AN13" s="158"/>
      <c r="AO13" s="158"/>
    </row>
    <row r="14">
      <c r="B14" s="312" t="s">
        <v>358</v>
      </c>
      <c r="C14" s="313"/>
      <c r="D14" s="316">
        <v>1.0</v>
      </c>
      <c r="E14" s="314">
        <v>570.2</v>
      </c>
      <c r="F14" s="314">
        <v>570.2</v>
      </c>
      <c r="G14" s="315">
        <f t="shared" ref="G14:G19" si="11">SUM(E14:F14)</f>
        <v>1140.4</v>
      </c>
      <c r="H14" s="316">
        <v>399.1</v>
      </c>
      <c r="I14" s="316">
        <v>400.9</v>
      </c>
      <c r="J14" s="313">
        <f t="shared" ref="J14:J19" si="12">I14-H14</f>
        <v>1.8</v>
      </c>
      <c r="K14" s="316">
        <v>-567.4</v>
      </c>
      <c r="L14" s="316">
        <v>-511.2</v>
      </c>
      <c r="M14" s="313">
        <f t="shared" ref="M14:M19" si="13">L14-K14</f>
        <v>56.2</v>
      </c>
      <c r="N14" s="313">
        <f t="shared" ref="N14:N19" si="14">(G14*J14*M14)/1000000</f>
        <v>0.115362864</v>
      </c>
      <c r="O14" s="316">
        <v>7820.0</v>
      </c>
      <c r="P14" s="313">
        <f t="shared" ref="P14:P19" si="15">N14*O14</f>
        <v>902.1375965</v>
      </c>
      <c r="Q14" s="317"/>
      <c r="S14" s="319" t="s">
        <v>358</v>
      </c>
      <c r="T14" s="319" t="s">
        <v>359</v>
      </c>
      <c r="W14" s="312" t="s">
        <v>360</v>
      </c>
      <c r="X14" s="313"/>
      <c r="Y14" s="314">
        <v>1.0</v>
      </c>
      <c r="Z14" s="314">
        <v>-400.9</v>
      </c>
      <c r="AA14" s="314">
        <v>-399.1</v>
      </c>
      <c r="AB14" s="315">
        <f t="shared" ref="AB14:AB19" si="16">AA14-Z14</f>
        <v>1.8</v>
      </c>
      <c r="AC14" s="316">
        <v>535.0</v>
      </c>
      <c r="AD14" s="316">
        <v>535.0</v>
      </c>
      <c r="AE14" s="313">
        <f t="shared" ref="AE14:AE19" si="17">AD14+AC14</f>
        <v>1070</v>
      </c>
      <c r="AF14" s="316">
        <v>-567.4</v>
      </c>
      <c r="AG14" s="316">
        <v>-511.2</v>
      </c>
      <c r="AH14" s="313">
        <f t="shared" ref="AH14:AH19" si="18">AG14-AF14</f>
        <v>56.2</v>
      </c>
      <c r="AI14" s="313">
        <f t="shared" ref="AI14:AI19" si="19">(AB14*AE14*AH14)/1000000</f>
        <v>0.1082412</v>
      </c>
      <c r="AJ14" s="316">
        <v>7820.0</v>
      </c>
      <c r="AK14" s="313">
        <f t="shared" ref="AK14:AK19" si="20">AI14*AJ14</f>
        <v>846.446184</v>
      </c>
      <c r="AL14" s="317"/>
      <c r="AM14" s="158"/>
      <c r="AN14" s="158"/>
      <c r="AO14" s="158"/>
    </row>
    <row r="15">
      <c r="B15" s="312" t="s">
        <v>361</v>
      </c>
      <c r="C15" s="313"/>
      <c r="D15" s="316">
        <v>2.0</v>
      </c>
      <c r="E15" s="314">
        <v>570.2</v>
      </c>
      <c r="F15" s="314">
        <v>570.2</v>
      </c>
      <c r="G15" s="315">
        <f t="shared" si="11"/>
        <v>1140.4</v>
      </c>
      <c r="H15" s="316">
        <v>239.1</v>
      </c>
      <c r="I15" s="316">
        <v>240.9</v>
      </c>
      <c r="J15" s="313">
        <f t="shared" si="12"/>
        <v>1.8</v>
      </c>
      <c r="K15" s="316">
        <v>-567.4</v>
      </c>
      <c r="L15" s="316">
        <v>-511.2</v>
      </c>
      <c r="M15" s="313">
        <f t="shared" si="13"/>
        <v>56.2</v>
      </c>
      <c r="N15" s="313">
        <f t="shared" si="14"/>
        <v>0.115362864</v>
      </c>
      <c r="O15" s="316">
        <v>7820.0</v>
      </c>
      <c r="P15" s="313">
        <f t="shared" si="15"/>
        <v>902.1375965</v>
      </c>
      <c r="Q15" s="317"/>
      <c r="S15" s="319" t="s">
        <v>361</v>
      </c>
      <c r="T15" s="319" t="s">
        <v>359</v>
      </c>
      <c r="W15" s="312" t="s">
        <v>362</v>
      </c>
      <c r="X15" s="313"/>
      <c r="Y15" s="314">
        <v>2.0</v>
      </c>
      <c r="Z15" s="314">
        <v>-240.9</v>
      </c>
      <c r="AA15" s="314">
        <v>-239.1</v>
      </c>
      <c r="AB15" s="315">
        <f t="shared" si="16"/>
        <v>1.8</v>
      </c>
      <c r="AC15" s="316">
        <v>535.0</v>
      </c>
      <c r="AD15" s="316">
        <v>535.0</v>
      </c>
      <c r="AE15" s="313">
        <f t="shared" si="17"/>
        <v>1070</v>
      </c>
      <c r="AF15" s="316">
        <v>-567.4</v>
      </c>
      <c r="AG15" s="316">
        <v>-511.2</v>
      </c>
      <c r="AH15" s="313">
        <f t="shared" si="18"/>
        <v>56.2</v>
      </c>
      <c r="AI15" s="313">
        <f t="shared" si="19"/>
        <v>0.1082412</v>
      </c>
      <c r="AJ15" s="316">
        <v>7820.0</v>
      </c>
      <c r="AK15" s="313">
        <f t="shared" si="20"/>
        <v>846.446184</v>
      </c>
      <c r="AL15" s="317"/>
      <c r="AM15" s="158"/>
      <c r="AN15" s="158"/>
      <c r="AO15" s="158"/>
    </row>
    <row r="16">
      <c r="B16" s="312" t="s">
        <v>363</v>
      </c>
      <c r="C16" s="313"/>
      <c r="D16" s="316">
        <v>3.0</v>
      </c>
      <c r="E16" s="314">
        <v>570.2</v>
      </c>
      <c r="F16" s="314">
        <v>570.2</v>
      </c>
      <c r="G16" s="315">
        <f t="shared" si="11"/>
        <v>1140.4</v>
      </c>
      <c r="H16" s="316">
        <v>79.1</v>
      </c>
      <c r="I16" s="316">
        <v>80.9</v>
      </c>
      <c r="J16" s="313">
        <f t="shared" si="12"/>
        <v>1.8</v>
      </c>
      <c r="K16" s="316">
        <v>-567.4</v>
      </c>
      <c r="L16" s="316">
        <v>-511.2</v>
      </c>
      <c r="M16" s="313">
        <f t="shared" si="13"/>
        <v>56.2</v>
      </c>
      <c r="N16" s="313">
        <f t="shared" si="14"/>
        <v>0.115362864</v>
      </c>
      <c r="O16" s="316">
        <v>7820.0</v>
      </c>
      <c r="P16" s="313">
        <f t="shared" si="15"/>
        <v>902.1375965</v>
      </c>
      <c r="Q16" s="317"/>
      <c r="S16" s="319" t="s">
        <v>363</v>
      </c>
      <c r="T16" s="319" t="s">
        <v>359</v>
      </c>
      <c r="W16" s="312" t="s">
        <v>364</v>
      </c>
      <c r="X16" s="313"/>
      <c r="Y16" s="314">
        <v>3.0</v>
      </c>
      <c r="Z16" s="314">
        <v>-80.9</v>
      </c>
      <c r="AA16" s="314">
        <v>-79.1</v>
      </c>
      <c r="AB16" s="315">
        <f t="shared" si="16"/>
        <v>1.8</v>
      </c>
      <c r="AC16" s="316">
        <v>535.0</v>
      </c>
      <c r="AD16" s="316">
        <v>535.0</v>
      </c>
      <c r="AE16" s="313">
        <f t="shared" si="17"/>
        <v>1070</v>
      </c>
      <c r="AF16" s="316">
        <v>-567.4</v>
      </c>
      <c r="AG16" s="316">
        <v>-511.2</v>
      </c>
      <c r="AH16" s="313">
        <f t="shared" si="18"/>
        <v>56.2</v>
      </c>
      <c r="AI16" s="313">
        <f t="shared" si="19"/>
        <v>0.1082412</v>
      </c>
      <c r="AJ16" s="316">
        <v>7820.0</v>
      </c>
      <c r="AK16" s="313">
        <f t="shared" si="20"/>
        <v>846.446184</v>
      </c>
      <c r="AL16" s="317"/>
      <c r="AM16" s="158"/>
      <c r="AN16" s="158"/>
      <c r="AO16" s="158"/>
    </row>
    <row r="17">
      <c r="B17" s="312" t="s">
        <v>365</v>
      </c>
      <c r="C17" s="313"/>
      <c r="D17" s="316">
        <v>4.0</v>
      </c>
      <c r="E17" s="314">
        <v>570.2</v>
      </c>
      <c r="F17" s="314">
        <v>570.2</v>
      </c>
      <c r="G17" s="315">
        <f t="shared" si="11"/>
        <v>1140.4</v>
      </c>
      <c r="H17" s="316">
        <v>-80.9</v>
      </c>
      <c r="I17" s="316">
        <v>-79.1</v>
      </c>
      <c r="J17" s="313">
        <f t="shared" si="12"/>
        <v>1.8</v>
      </c>
      <c r="K17" s="316">
        <v>-567.4</v>
      </c>
      <c r="L17" s="316">
        <v>-511.2</v>
      </c>
      <c r="M17" s="313">
        <f t="shared" si="13"/>
        <v>56.2</v>
      </c>
      <c r="N17" s="313">
        <f t="shared" si="14"/>
        <v>0.115362864</v>
      </c>
      <c r="O17" s="316">
        <v>7820.0</v>
      </c>
      <c r="P17" s="313">
        <f t="shared" si="15"/>
        <v>902.1375965</v>
      </c>
      <c r="Q17" s="317"/>
      <c r="S17" s="319" t="s">
        <v>365</v>
      </c>
      <c r="T17" s="319" t="s">
        <v>359</v>
      </c>
      <c r="W17" s="312" t="s">
        <v>366</v>
      </c>
      <c r="X17" s="313"/>
      <c r="Y17" s="314">
        <v>4.0</v>
      </c>
      <c r="Z17" s="314">
        <v>79.1</v>
      </c>
      <c r="AA17" s="314">
        <v>80.9</v>
      </c>
      <c r="AB17" s="315">
        <f t="shared" si="16"/>
        <v>1.8</v>
      </c>
      <c r="AC17" s="316">
        <v>535.0</v>
      </c>
      <c r="AD17" s="316">
        <v>535.0</v>
      </c>
      <c r="AE17" s="313">
        <f t="shared" si="17"/>
        <v>1070</v>
      </c>
      <c r="AF17" s="316">
        <v>-567.4</v>
      </c>
      <c r="AG17" s="316">
        <v>-511.2</v>
      </c>
      <c r="AH17" s="313">
        <f t="shared" si="18"/>
        <v>56.2</v>
      </c>
      <c r="AI17" s="313">
        <f t="shared" si="19"/>
        <v>0.1082412</v>
      </c>
      <c r="AJ17" s="316">
        <v>7820.0</v>
      </c>
      <c r="AK17" s="313">
        <f t="shared" si="20"/>
        <v>846.446184</v>
      </c>
      <c r="AL17" s="317"/>
      <c r="AM17" s="158"/>
      <c r="AN17" s="158"/>
      <c r="AO17" s="158"/>
    </row>
    <row r="18">
      <c r="B18" s="312" t="s">
        <v>367</v>
      </c>
      <c r="C18" s="313"/>
      <c r="D18" s="316">
        <v>5.0</v>
      </c>
      <c r="E18" s="314">
        <v>570.2</v>
      </c>
      <c r="F18" s="314">
        <v>570.2</v>
      </c>
      <c r="G18" s="315">
        <f t="shared" si="11"/>
        <v>1140.4</v>
      </c>
      <c r="H18" s="316">
        <v>-240.9</v>
      </c>
      <c r="I18" s="316">
        <v>-239.1</v>
      </c>
      <c r="J18" s="313">
        <f t="shared" si="12"/>
        <v>1.8</v>
      </c>
      <c r="K18" s="316">
        <v>-567.4</v>
      </c>
      <c r="L18" s="316">
        <v>-511.2</v>
      </c>
      <c r="M18" s="313">
        <f t="shared" si="13"/>
        <v>56.2</v>
      </c>
      <c r="N18" s="313">
        <f t="shared" si="14"/>
        <v>0.115362864</v>
      </c>
      <c r="O18" s="316">
        <v>7820.0</v>
      </c>
      <c r="P18" s="313">
        <f t="shared" si="15"/>
        <v>902.1375965</v>
      </c>
      <c r="Q18" s="317"/>
      <c r="S18" s="319" t="s">
        <v>367</v>
      </c>
      <c r="T18" s="319" t="s">
        <v>359</v>
      </c>
      <c r="W18" s="312" t="s">
        <v>368</v>
      </c>
      <c r="X18" s="313"/>
      <c r="Y18" s="314">
        <v>5.0</v>
      </c>
      <c r="Z18" s="314">
        <v>239.1</v>
      </c>
      <c r="AA18" s="314">
        <v>240.9</v>
      </c>
      <c r="AB18" s="315">
        <f t="shared" si="16"/>
        <v>1.8</v>
      </c>
      <c r="AC18" s="316">
        <v>535.0</v>
      </c>
      <c r="AD18" s="316">
        <v>535.0</v>
      </c>
      <c r="AE18" s="313">
        <f t="shared" si="17"/>
        <v>1070</v>
      </c>
      <c r="AF18" s="316">
        <v>-567.4</v>
      </c>
      <c r="AG18" s="316">
        <v>-511.2</v>
      </c>
      <c r="AH18" s="313">
        <f t="shared" si="18"/>
        <v>56.2</v>
      </c>
      <c r="AI18" s="313">
        <f t="shared" si="19"/>
        <v>0.1082412</v>
      </c>
      <c r="AJ18" s="316">
        <v>7820.0</v>
      </c>
      <c r="AK18" s="313">
        <f t="shared" si="20"/>
        <v>846.446184</v>
      </c>
      <c r="AL18" s="317"/>
      <c r="AM18" s="158"/>
      <c r="AN18" s="158"/>
      <c r="AO18" s="158"/>
    </row>
    <row r="19">
      <c r="B19" s="312" t="s">
        <v>369</v>
      </c>
      <c r="C19" s="313"/>
      <c r="D19" s="316">
        <v>6.0</v>
      </c>
      <c r="E19" s="314">
        <v>570.2</v>
      </c>
      <c r="F19" s="314">
        <v>570.2</v>
      </c>
      <c r="G19" s="315">
        <f t="shared" si="11"/>
        <v>1140.4</v>
      </c>
      <c r="H19" s="316">
        <v>-400.9</v>
      </c>
      <c r="I19" s="316">
        <v>-399.1</v>
      </c>
      <c r="J19" s="313">
        <f t="shared" si="12"/>
        <v>1.8</v>
      </c>
      <c r="K19" s="316">
        <v>-567.4</v>
      </c>
      <c r="L19" s="316">
        <v>-511.2</v>
      </c>
      <c r="M19" s="313">
        <f t="shared" si="13"/>
        <v>56.2</v>
      </c>
      <c r="N19" s="313">
        <f t="shared" si="14"/>
        <v>0.115362864</v>
      </c>
      <c r="O19" s="316">
        <v>7820.0</v>
      </c>
      <c r="P19" s="313">
        <f t="shared" si="15"/>
        <v>902.1375965</v>
      </c>
      <c r="Q19" s="317"/>
      <c r="S19" s="319" t="s">
        <v>369</v>
      </c>
      <c r="T19" s="319" t="s">
        <v>359</v>
      </c>
      <c r="W19" s="312" t="s">
        <v>370</v>
      </c>
      <c r="X19" s="313"/>
      <c r="Y19" s="314">
        <v>6.0</v>
      </c>
      <c r="Z19" s="314">
        <v>399.1</v>
      </c>
      <c r="AA19" s="314">
        <v>400.9</v>
      </c>
      <c r="AB19" s="315">
        <f t="shared" si="16"/>
        <v>1.8</v>
      </c>
      <c r="AC19" s="316">
        <v>535.0</v>
      </c>
      <c r="AD19" s="316">
        <v>535.0</v>
      </c>
      <c r="AE19" s="313">
        <f t="shared" si="17"/>
        <v>1070</v>
      </c>
      <c r="AF19" s="316">
        <v>-567.4</v>
      </c>
      <c r="AG19" s="316">
        <v>-511.2</v>
      </c>
      <c r="AH19" s="313">
        <f t="shared" si="18"/>
        <v>56.2</v>
      </c>
      <c r="AI19" s="313">
        <f t="shared" si="19"/>
        <v>0.1082412</v>
      </c>
      <c r="AJ19" s="316">
        <v>7820.0</v>
      </c>
      <c r="AK19" s="313">
        <f t="shared" si="20"/>
        <v>846.446184</v>
      </c>
      <c r="AL19" s="317"/>
      <c r="AM19" s="158"/>
      <c r="AN19" s="158"/>
      <c r="AO19" s="158"/>
    </row>
    <row r="20">
      <c r="B20" s="320"/>
      <c r="C20" s="313"/>
      <c r="D20" s="316" t="s">
        <v>294</v>
      </c>
      <c r="E20" s="313"/>
      <c r="F20" s="313"/>
      <c r="G20" s="313"/>
      <c r="H20" s="313"/>
      <c r="I20" s="313"/>
      <c r="J20" s="313"/>
      <c r="K20" s="313"/>
      <c r="L20" s="313"/>
      <c r="M20" s="313"/>
      <c r="N20" s="313">
        <f>SUM(N14:N19)</f>
        <v>0.692177184</v>
      </c>
      <c r="O20" s="313"/>
      <c r="P20" s="313">
        <f>SUM(P14:P19)</f>
        <v>5412.825579</v>
      </c>
      <c r="Q20" s="317"/>
      <c r="S20" s="321"/>
      <c r="T20" s="321"/>
      <c r="U20" s="321"/>
      <c r="V20" s="321"/>
      <c r="W20" s="320"/>
      <c r="X20" s="313"/>
      <c r="Y20" s="316" t="s">
        <v>294</v>
      </c>
      <c r="Z20" s="313"/>
      <c r="AA20" s="313"/>
      <c r="AB20" s="313"/>
      <c r="AC20" s="313"/>
      <c r="AD20" s="313"/>
      <c r="AE20" s="313"/>
      <c r="AF20" s="313"/>
      <c r="AG20" s="313"/>
      <c r="AH20" s="313"/>
      <c r="AI20" s="313">
        <f>SUM(AI14:AI19)</f>
        <v>0.6494472</v>
      </c>
      <c r="AJ20" s="313"/>
      <c r="AK20" s="313">
        <f>SUM(AK14:AK19)</f>
        <v>5078.677104</v>
      </c>
      <c r="AL20" s="317"/>
      <c r="AM20" s="158">
        <f>AI20+N20</f>
        <v>1.341624384</v>
      </c>
      <c r="AN20" s="158"/>
      <c r="AO20" s="158"/>
    </row>
    <row r="21">
      <c r="B21" s="324"/>
      <c r="C21" s="325"/>
      <c r="D21" s="325"/>
      <c r="E21" s="325"/>
      <c r="F21" s="325"/>
      <c r="G21" s="325"/>
      <c r="H21" s="325"/>
      <c r="I21" s="325"/>
      <c r="J21" s="325"/>
      <c r="K21" s="325"/>
      <c r="L21" s="325"/>
      <c r="M21" s="325"/>
      <c r="N21" s="325"/>
      <c r="O21" s="325"/>
      <c r="P21" s="325">
        <f>P20/1000</f>
        <v>5.412825579</v>
      </c>
      <c r="Q21" s="326" t="s">
        <v>371</v>
      </c>
      <c r="S21" s="321"/>
      <c r="T21" s="321"/>
      <c r="U21" s="321"/>
      <c r="V21" s="321"/>
      <c r="W21" s="324"/>
      <c r="X21" s="325"/>
      <c r="Y21" s="325"/>
      <c r="Z21" s="325"/>
      <c r="AA21" s="325"/>
      <c r="AB21" s="325"/>
      <c r="AC21" s="325"/>
      <c r="AD21" s="325"/>
      <c r="AE21" s="325"/>
      <c r="AF21" s="325"/>
      <c r="AG21" s="325"/>
      <c r="AH21" s="325"/>
      <c r="AI21" s="325"/>
      <c r="AJ21" s="325"/>
      <c r="AK21" s="325">
        <f>AK20/1000</f>
        <v>5.078677104</v>
      </c>
      <c r="AL21" s="326" t="s">
        <v>371</v>
      </c>
      <c r="AM21" s="307"/>
      <c r="AN21" s="307"/>
      <c r="AO21" s="307"/>
    </row>
    <row r="22">
      <c r="Q22" s="44"/>
      <c r="S22" s="321"/>
      <c r="T22" s="321"/>
      <c r="U22" s="321"/>
      <c r="V22" s="321"/>
      <c r="AM22" s="158"/>
      <c r="AN22" s="158"/>
      <c r="AO22" s="158"/>
    </row>
    <row r="23">
      <c r="B23" s="327" t="s">
        <v>330</v>
      </c>
      <c r="C23" s="328" t="s">
        <v>372</v>
      </c>
      <c r="D23" s="328" t="s">
        <v>332</v>
      </c>
      <c r="E23" s="328" t="s">
        <v>333</v>
      </c>
      <c r="F23" s="328" t="s">
        <v>334</v>
      </c>
      <c r="G23" s="328" t="s">
        <v>335</v>
      </c>
      <c r="H23" s="328" t="s">
        <v>336</v>
      </c>
      <c r="I23" s="328" t="s">
        <v>337</v>
      </c>
      <c r="J23" s="328" t="s">
        <v>338</v>
      </c>
      <c r="K23" s="328" t="s">
        <v>339</v>
      </c>
      <c r="L23" s="328" t="s">
        <v>340</v>
      </c>
      <c r="M23" s="328" t="s">
        <v>341</v>
      </c>
      <c r="N23" s="328" t="s">
        <v>235</v>
      </c>
      <c r="O23" s="328" t="s">
        <v>342</v>
      </c>
      <c r="P23" s="328" t="s">
        <v>229</v>
      </c>
      <c r="Q23" s="329"/>
      <c r="S23" s="321"/>
      <c r="T23" s="321"/>
      <c r="U23" s="321"/>
      <c r="V23" s="321"/>
      <c r="W23" s="327" t="s">
        <v>330</v>
      </c>
      <c r="X23" s="328" t="s">
        <v>372</v>
      </c>
      <c r="Y23" s="328" t="s">
        <v>332</v>
      </c>
      <c r="Z23" s="328" t="s">
        <v>333</v>
      </c>
      <c r="AA23" s="328" t="s">
        <v>334</v>
      </c>
      <c r="AB23" s="328" t="s">
        <v>335</v>
      </c>
      <c r="AC23" s="328" t="s">
        <v>336</v>
      </c>
      <c r="AD23" s="328" t="s">
        <v>337</v>
      </c>
      <c r="AE23" s="328" t="s">
        <v>338</v>
      </c>
      <c r="AF23" s="328" t="s">
        <v>339</v>
      </c>
      <c r="AG23" s="328" t="s">
        <v>340</v>
      </c>
      <c r="AH23" s="328" t="s">
        <v>341</v>
      </c>
      <c r="AI23" s="328" t="s">
        <v>235</v>
      </c>
      <c r="AJ23" s="328" t="s">
        <v>342</v>
      </c>
      <c r="AK23" s="328" t="s">
        <v>229</v>
      </c>
      <c r="AL23" s="329"/>
      <c r="AM23" s="158"/>
      <c r="AN23" s="158"/>
      <c r="AO23" s="158"/>
    </row>
    <row r="24">
      <c r="B24" s="330" t="s">
        <v>373</v>
      </c>
      <c r="C24" s="331"/>
      <c r="D24" s="332">
        <v>1.0</v>
      </c>
      <c r="E24" s="333">
        <v>508.4</v>
      </c>
      <c r="F24" s="333">
        <v>508.4</v>
      </c>
      <c r="G24" s="334">
        <f t="shared" ref="G24:G29" si="21">SUM(E24:F24)</f>
        <v>1016.8</v>
      </c>
      <c r="H24" s="332">
        <v>478.8</v>
      </c>
      <c r="I24" s="332">
        <v>535.0</v>
      </c>
      <c r="J24" s="331">
        <f t="shared" ref="J24:J29" si="22">I24-H24</f>
        <v>56.2</v>
      </c>
      <c r="K24" s="332">
        <v>399.1</v>
      </c>
      <c r="L24" s="332">
        <v>400.9</v>
      </c>
      <c r="M24" s="331">
        <f t="shared" ref="M24:M29" si="23">L24-K24</f>
        <v>1.8</v>
      </c>
      <c r="N24" s="331">
        <f t="shared" ref="N24:N29" si="24">(G24*J24*M24)/1000000</f>
        <v>0.102859488</v>
      </c>
      <c r="O24" s="332">
        <v>7820.0</v>
      </c>
      <c r="P24" s="331">
        <f t="shared" ref="P24:P29" si="25">N24*O24</f>
        <v>804.3611962</v>
      </c>
      <c r="Q24" s="335"/>
      <c r="S24" s="319" t="s">
        <v>374</v>
      </c>
      <c r="T24" s="319" t="s">
        <v>375</v>
      </c>
      <c r="W24" s="330" t="s">
        <v>374</v>
      </c>
      <c r="X24" s="331"/>
      <c r="Y24" s="332">
        <v>1.0</v>
      </c>
      <c r="Z24" s="333">
        <v>-400.9</v>
      </c>
      <c r="AA24" s="333">
        <v>-399.1</v>
      </c>
      <c r="AB24" s="334">
        <f t="shared" ref="AB24:AB29" si="26">AA24-Z24</f>
        <v>1.8</v>
      </c>
      <c r="AC24" s="332">
        <v>478.8</v>
      </c>
      <c r="AD24" s="332">
        <v>535.0</v>
      </c>
      <c r="AE24" s="331">
        <f t="shared" ref="AE24:AE29" si="27">AD24-AC24</f>
        <v>56.2</v>
      </c>
      <c r="AF24" s="332">
        <v>508.4</v>
      </c>
      <c r="AG24" s="332">
        <v>508.4</v>
      </c>
      <c r="AH24" s="331">
        <f t="shared" ref="AH24:AH29" si="28">AF24+AG24</f>
        <v>1016.8</v>
      </c>
      <c r="AI24" s="331">
        <f t="shared" ref="AI24:AI29" si="29">(AB24*AE24*AH24)/1000000</f>
        <v>0.102859488</v>
      </c>
      <c r="AJ24" s="332">
        <v>7820.0</v>
      </c>
      <c r="AK24" s="331">
        <f t="shared" ref="AK24:AK29" si="30">AI24*AJ24</f>
        <v>804.3611962</v>
      </c>
      <c r="AL24" s="335"/>
      <c r="AM24" s="158"/>
      <c r="AN24" s="158"/>
      <c r="AO24" s="158"/>
    </row>
    <row r="25">
      <c r="B25" s="330" t="s">
        <v>376</v>
      </c>
      <c r="C25" s="331"/>
      <c r="D25" s="332">
        <v>2.0</v>
      </c>
      <c r="E25" s="333">
        <v>508.4</v>
      </c>
      <c r="F25" s="333">
        <v>508.4</v>
      </c>
      <c r="G25" s="334">
        <f t="shared" si="21"/>
        <v>1016.8</v>
      </c>
      <c r="H25" s="332">
        <v>478.8</v>
      </c>
      <c r="I25" s="332">
        <v>535.0</v>
      </c>
      <c r="J25" s="331">
        <f t="shared" si="22"/>
        <v>56.2</v>
      </c>
      <c r="K25" s="332">
        <v>239.1</v>
      </c>
      <c r="L25" s="332">
        <v>240.9</v>
      </c>
      <c r="M25" s="331">
        <f t="shared" si="23"/>
        <v>1.8</v>
      </c>
      <c r="N25" s="331">
        <f t="shared" si="24"/>
        <v>0.102859488</v>
      </c>
      <c r="O25" s="332">
        <v>7820.0</v>
      </c>
      <c r="P25" s="331">
        <f t="shared" si="25"/>
        <v>804.3611962</v>
      </c>
      <c r="Q25" s="335"/>
      <c r="S25" s="319" t="s">
        <v>377</v>
      </c>
      <c r="T25" s="319" t="s">
        <v>375</v>
      </c>
      <c r="W25" s="330" t="s">
        <v>377</v>
      </c>
      <c r="X25" s="331"/>
      <c r="Y25" s="332">
        <v>2.0</v>
      </c>
      <c r="Z25" s="333">
        <v>-240.9</v>
      </c>
      <c r="AA25" s="333">
        <v>-239.1</v>
      </c>
      <c r="AB25" s="334">
        <f t="shared" si="26"/>
        <v>1.8</v>
      </c>
      <c r="AC25" s="332">
        <v>478.8</v>
      </c>
      <c r="AD25" s="332">
        <v>535.0</v>
      </c>
      <c r="AE25" s="331">
        <f t="shared" si="27"/>
        <v>56.2</v>
      </c>
      <c r="AF25" s="332">
        <v>508.4</v>
      </c>
      <c r="AG25" s="332">
        <v>508.4</v>
      </c>
      <c r="AH25" s="331">
        <f t="shared" si="28"/>
        <v>1016.8</v>
      </c>
      <c r="AI25" s="331">
        <f t="shared" si="29"/>
        <v>0.102859488</v>
      </c>
      <c r="AJ25" s="332">
        <v>7820.0</v>
      </c>
      <c r="AK25" s="331">
        <f t="shared" si="30"/>
        <v>804.3611962</v>
      </c>
      <c r="AL25" s="335"/>
      <c r="AM25" s="158"/>
      <c r="AN25" s="158"/>
      <c r="AO25" s="158"/>
    </row>
    <row r="26">
      <c r="B26" s="330" t="s">
        <v>378</v>
      </c>
      <c r="C26" s="331"/>
      <c r="D26" s="332">
        <v>3.0</v>
      </c>
      <c r="E26" s="333">
        <v>508.4</v>
      </c>
      <c r="F26" s="333">
        <v>508.4</v>
      </c>
      <c r="G26" s="334">
        <f t="shared" si="21"/>
        <v>1016.8</v>
      </c>
      <c r="H26" s="332">
        <v>478.8</v>
      </c>
      <c r="I26" s="332">
        <v>535.0</v>
      </c>
      <c r="J26" s="331">
        <f t="shared" si="22"/>
        <v>56.2</v>
      </c>
      <c r="K26" s="332">
        <v>79.1</v>
      </c>
      <c r="L26" s="332">
        <v>80.9</v>
      </c>
      <c r="M26" s="331">
        <f t="shared" si="23"/>
        <v>1.8</v>
      </c>
      <c r="N26" s="331">
        <f t="shared" si="24"/>
        <v>0.102859488</v>
      </c>
      <c r="O26" s="332">
        <v>7820.0</v>
      </c>
      <c r="P26" s="331">
        <f t="shared" si="25"/>
        <v>804.3611962</v>
      </c>
      <c r="Q26" s="335"/>
      <c r="S26" s="319" t="s">
        <v>379</v>
      </c>
      <c r="T26" s="319" t="s">
        <v>375</v>
      </c>
      <c r="W26" s="330" t="s">
        <v>379</v>
      </c>
      <c r="X26" s="331"/>
      <c r="Y26" s="332">
        <v>3.0</v>
      </c>
      <c r="Z26" s="333">
        <v>-80.9</v>
      </c>
      <c r="AA26" s="333">
        <v>-79.1</v>
      </c>
      <c r="AB26" s="334">
        <f t="shared" si="26"/>
        <v>1.8</v>
      </c>
      <c r="AC26" s="332">
        <v>478.8</v>
      </c>
      <c r="AD26" s="332">
        <v>535.0</v>
      </c>
      <c r="AE26" s="331">
        <f t="shared" si="27"/>
        <v>56.2</v>
      </c>
      <c r="AF26" s="332">
        <v>508.4</v>
      </c>
      <c r="AG26" s="332">
        <v>508.4</v>
      </c>
      <c r="AH26" s="331">
        <f t="shared" si="28"/>
        <v>1016.8</v>
      </c>
      <c r="AI26" s="331">
        <f t="shared" si="29"/>
        <v>0.102859488</v>
      </c>
      <c r="AJ26" s="332">
        <v>7820.0</v>
      </c>
      <c r="AK26" s="331">
        <f t="shared" si="30"/>
        <v>804.3611962</v>
      </c>
      <c r="AL26" s="335"/>
      <c r="AM26" s="158"/>
      <c r="AN26" s="158"/>
      <c r="AO26" s="158"/>
    </row>
    <row r="27">
      <c r="B27" s="330" t="s">
        <v>380</v>
      </c>
      <c r="C27" s="331"/>
      <c r="D27" s="332">
        <v>4.0</v>
      </c>
      <c r="E27" s="333">
        <v>508.4</v>
      </c>
      <c r="F27" s="333">
        <v>508.4</v>
      </c>
      <c r="G27" s="334">
        <f t="shared" si="21"/>
        <v>1016.8</v>
      </c>
      <c r="H27" s="332">
        <v>478.8</v>
      </c>
      <c r="I27" s="332">
        <v>535.0</v>
      </c>
      <c r="J27" s="331">
        <f t="shared" si="22"/>
        <v>56.2</v>
      </c>
      <c r="K27" s="332">
        <v>-80.9</v>
      </c>
      <c r="L27" s="332">
        <v>-79.1</v>
      </c>
      <c r="M27" s="331">
        <f t="shared" si="23"/>
        <v>1.8</v>
      </c>
      <c r="N27" s="331">
        <f t="shared" si="24"/>
        <v>0.102859488</v>
      </c>
      <c r="O27" s="332">
        <v>7820.0</v>
      </c>
      <c r="P27" s="331">
        <f t="shared" si="25"/>
        <v>804.3611962</v>
      </c>
      <c r="Q27" s="335"/>
      <c r="S27" s="319" t="s">
        <v>381</v>
      </c>
      <c r="T27" s="319" t="s">
        <v>375</v>
      </c>
      <c r="W27" s="330" t="s">
        <v>381</v>
      </c>
      <c r="X27" s="331"/>
      <c r="Y27" s="332">
        <v>4.0</v>
      </c>
      <c r="Z27" s="333">
        <v>79.1</v>
      </c>
      <c r="AA27" s="333">
        <v>80.9</v>
      </c>
      <c r="AB27" s="334">
        <f t="shared" si="26"/>
        <v>1.8</v>
      </c>
      <c r="AC27" s="332">
        <v>478.8</v>
      </c>
      <c r="AD27" s="332">
        <v>535.0</v>
      </c>
      <c r="AE27" s="331">
        <f t="shared" si="27"/>
        <v>56.2</v>
      </c>
      <c r="AF27" s="332">
        <v>508.4</v>
      </c>
      <c r="AG27" s="332">
        <v>508.4</v>
      </c>
      <c r="AH27" s="331">
        <f t="shared" si="28"/>
        <v>1016.8</v>
      </c>
      <c r="AI27" s="331">
        <f t="shared" si="29"/>
        <v>0.102859488</v>
      </c>
      <c r="AJ27" s="332">
        <v>7820.0</v>
      </c>
      <c r="AK27" s="331">
        <f t="shared" si="30"/>
        <v>804.3611962</v>
      </c>
      <c r="AL27" s="335"/>
      <c r="AM27" s="158"/>
      <c r="AN27" s="158"/>
      <c r="AO27" s="158"/>
    </row>
    <row r="28">
      <c r="B28" s="330" t="s">
        <v>382</v>
      </c>
      <c r="C28" s="331"/>
      <c r="D28" s="332">
        <v>5.0</v>
      </c>
      <c r="E28" s="333">
        <v>508.4</v>
      </c>
      <c r="F28" s="333">
        <v>508.4</v>
      </c>
      <c r="G28" s="334">
        <f t="shared" si="21"/>
        <v>1016.8</v>
      </c>
      <c r="H28" s="332">
        <v>478.8</v>
      </c>
      <c r="I28" s="332">
        <v>535.0</v>
      </c>
      <c r="J28" s="331">
        <f t="shared" si="22"/>
        <v>56.2</v>
      </c>
      <c r="K28" s="332">
        <v>-240.9</v>
      </c>
      <c r="L28" s="332">
        <v>-239.1</v>
      </c>
      <c r="M28" s="331">
        <f t="shared" si="23"/>
        <v>1.8</v>
      </c>
      <c r="N28" s="331">
        <f t="shared" si="24"/>
        <v>0.102859488</v>
      </c>
      <c r="O28" s="332">
        <v>7820.0</v>
      </c>
      <c r="P28" s="331">
        <f t="shared" si="25"/>
        <v>804.3611962</v>
      </c>
      <c r="Q28" s="335"/>
      <c r="S28" s="319" t="s">
        <v>383</v>
      </c>
      <c r="T28" s="319" t="s">
        <v>375</v>
      </c>
      <c r="W28" s="330" t="s">
        <v>383</v>
      </c>
      <c r="X28" s="331"/>
      <c r="Y28" s="332">
        <v>5.0</v>
      </c>
      <c r="Z28" s="333">
        <v>239.1</v>
      </c>
      <c r="AA28" s="333">
        <v>240.9</v>
      </c>
      <c r="AB28" s="334">
        <f t="shared" si="26"/>
        <v>1.8</v>
      </c>
      <c r="AC28" s="332">
        <v>478.8</v>
      </c>
      <c r="AD28" s="332">
        <v>535.0</v>
      </c>
      <c r="AE28" s="331">
        <f t="shared" si="27"/>
        <v>56.2</v>
      </c>
      <c r="AF28" s="332">
        <v>508.4</v>
      </c>
      <c r="AG28" s="332">
        <v>508.4</v>
      </c>
      <c r="AH28" s="331">
        <f t="shared" si="28"/>
        <v>1016.8</v>
      </c>
      <c r="AI28" s="331">
        <f t="shared" si="29"/>
        <v>0.102859488</v>
      </c>
      <c r="AJ28" s="332">
        <v>7820.0</v>
      </c>
      <c r="AK28" s="331">
        <f t="shared" si="30"/>
        <v>804.3611962</v>
      </c>
      <c r="AL28" s="335"/>
      <c r="AM28" s="158"/>
      <c r="AN28" s="158"/>
      <c r="AO28" s="158"/>
    </row>
    <row r="29">
      <c r="B29" s="330" t="s">
        <v>384</v>
      </c>
      <c r="C29" s="331"/>
      <c r="D29" s="332">
        <v>6.0</v>
      </c>
      <c r="E29" s="333">
        <v>508.4</v>
      </c>
      <c r="F29" s="333">
        <v>508.4</v>
      </c>
      <c r="G29" s="334">
        <f t="shared" si="21"/>
        <v>1016.8</v>
      </c>
      <c r="H29" s="332">
        <v>478.8</v>
      </c>
      <c r="I29" s="332">
        <v>535.0</v>
      </c>
      <c r="J29" s="331">
        <f t="shared" si="22"/>
        <v>56.2</v>
      </c>
      <c r="K29" s="332">
        <v>-400.9</v>
      </c>
      <c r="L29" s="332">
        <v>-399.1</v>
      </c>
      <c r="M29" s="331">
        <f t="shared" si="23"/>
        <v>1.8</v>
      </c>
      <c r="N29" s="331">
        <f t="shared" si="24"/>
        <v>0.102859488</v>
      </c>
      <c r="O29" s="332">
        <v>7820.0</v>
      </c>
      <c r="P29" s="331">
        <f t="shared" si="25"/>
        <v>804.3611962</v>
      </c>
      <c r="Q29" s="335"/>
      <c r="S29" s="319" t="s">
        <v>385</v>
      </c>
      <c r="T29" s="319" t="s">
        <v>375</v>
      </c>
      <c r="W29" s="330" t="s">
        <v>385</v>
      </c>
      <c r="X29" s="331"/>
      <c r="Y29" s="332">
        <v>6.0</v>
      </c>
      <c r="Z29" s="333">
        <v>399.1</v>
      </c>
      <c r="AA29" s="333">
        <v>400.9</v>
      </c>
      <c r="AB29" s="334">
        <f t="shared" si="26"/>
        <v>1.8</v>
      </c>
      <c r="AC29" s="332">
        <v>478.8</v>
      </c>
      <c r="AD29" s="332">
        <v>535.0</v>
      </c>
      <c r="AE29" s="331">
        <f t="shared" si="27"/>
        <v>56.2</v>
      </c>
      <c r="AF29" s="332">
        <v>508.4</v>
      </c>
      <c r="AG29" s="332">
        <v>508.4</v>
      </c>
      <c r="AH29" s="331">
        <f t="shared" si="28"/>
        <v>1016.8</v>
      </c>
      <c r="AI29" s="331">
        <f t="shared" si="29"/>
        <v>0.102859488</v>
      </c>
      <c r="AJ29" s="332">
        <v>7820.0</v>
      </c>
      <c r="AK29" s="331">
        <f t="shared" si="30"/>
        <v>804.3611962</v>
      </c>
      <c r="AL29" s="335"/>
      <c r="AM29" s="158"/>
      <c r="AN29" s="158"/>
      <c r="AO29" s="158"/>
    </row>
    <row r="30">
      <c r="B30" s="336"/>
      <c r="C30" s="331"/>
      <c r="D30" s="332" t="s">
        <v>294</v>
      </c>
      <c r="E30" s="331"/>
      <c r="F30" s="331"/>
      <c r="G30" s="331"/>
      <c r="H30" s="331"/>
      <c r="I30" s="331"/>
      <c r="J30" s="331"/>
      <c r="K30" s="331"/>
      <c r="L30" s="331"/>
      <c r="M30" s="331"/>
      <c r="N30" s="331">
        <f>SUM(N24:N29)</f>
        <v>0.617156928</v>
      </c>
      <c r="O30" s="331"/>
      <c r="P30" s="331">
        <f>SUM(P24:P29)</f>
        <v>4826.167177</v>
      </c>
      <c r="Q30" s="335"/>
      <c r="S30" s="321"/>
      <c r="T30" s="321"/>
      <c r="U30" s="321"/>
      <c r="V30" s="321"/>
      <c r="W30" s="336"/>
      <c r="X30" s="331"/>
      <c r="Y30" s="332" t="s">
        <v>294</v>
      </c>
      <c r="Z30" s="331"/>
      <c r="AA30" s="331"/>
      <c r="AB30" s="331"/>
      <c r="AC30" s="331"/>
      <c r="AD30" s="331"/>
      <c r="AE30" s="331"/>
      <c r="AF30" s="331"/>
      <c r="AG30" s="331"/>
      <c r="AH30" s="331"/>
      <c r="AI30" s="331">
        <f>SUM(AI24:AI29)</f>
        <v>0.617156928</v>
      </c>
      <c r="AJ30" s="331"/>
      <c r="AK30" s="331">
        <f>SUM(AK24:AK29)</f>
        <v>4826.167177</v>
      </c>
      <c r="AL30" s="335"/>
      <c r="AM30" s="158">
        <f>AI30+N30</f>
        <v>1.234313856</v>
      </c>
      <c r="AN30" s="158"/>
      <c r="AO30" s="158"/>
    </row>
    <row r="31">
      <c r="B31" s="336"/>
      <c r="C31" s="331"/>
      <c r="D31" s="331"/>
      <c r="E31" s="331"/>
      <c r="F31" s="331"/>
      <c r="G31" s="331"/>
      <c r="H31" s="331"/>
      <c r="I31" s="331"/>
      <c r="J31" s="331"/>
      <c r="K31" s="331"/>
      <c r="L31" s="331"/>
      <c r="M31" s="331"/>
      <c r="N31" s="331"/>
      <c r="O31" s="331"/>
      <c r="P31" s="331">
        <f>P30/1000</f>
        <v>4.826167177</v>
      </c>
      <c r="Q31" s="337" t="s">
        <v>371</v>
      </c>
      <c r="S31" s="321"/>
      <c r="T31" s="321"/>
      <c r="U31" s="321"/>
      <c r="V31" s="321"/>
      <c r="W31" s="336"/>
      <c r="X31" s="331"/>
      <c r="Y31" s="331"/>
      <c r="Z31" s="331"/>
      <c r="AA31" s="331"/>
      <c r="AB31" s="331"/>
      <c r="AC31" s="331"/>
      <c r="AD31" s="331"/>
      <c r="AE31" s="331"/>
      <c r="AF31" s="331"/>
      <c r="AG31" s="331"/>
      <c r="AH31" s="331"/>
      <c r="AI31" s="331"/>
      <c r="AJ31" s="331"/>
      <c r="AK31" s="331">
        <f>AK30/1000</f>
        <v>4.826167177</v>
      </c>
      <c r="AL31" s="337" t="s">
        <v>371</v>
      </c>
      <c r="AM31" s="307"/>
      <c r="AN31" s="307"/>
      <c r="AO31" s="307"/>
    </row>
    <row r="32">
      <c r="B32" s="336"/>
      <c r="C32" s="331"/>
      <c r="D32" s="331"/>
      <c r="E32" s="331"/>
      <c r="F32" s="331"/>
      <c r="G32" s="331"/>
      <c r="H32" s="331"/>
      <c r="I32" s="331"/>
      <c r="J32" s="331"/>
      <c r="K32" s="331"/>
      <c r="L32" s="331"/>
      <c r="M32" s="331"/>
      <c r="N32" s="331"/>
      <c r="O32" s="331"/>
      <c r="P32" s="331"/>
      <c r="Q32" s="337"/>
      <c r="S32" s="321"/>
      <c r="T32" s="321"/>
      <c r="U32" s="321"/>
      <c r="V32" s="321"/>
      <c r="W32" s="336"/>
      <c r="X32" s="331"/>
      <c r="Y32" s="331"/>
      <c r="Z32" s="331"/>
      <c r="AA32" s="331"/>
      <c r="AB32" s="331"/>
      <c r="AC32" s="331"/>
      <c r="AD32" s="331"/>
      <c r="AE32" s="331"/>
      <c r="AF32" s="331"/>
      <c r="AG32" s="331"/>
      <c r="AH32" s="331"/>
      <c r="AI32" s="331"/>
      <c r="AJ32" s="331"/>
      <c r="AK32" s="331"/>
      <c r="AL32" s="337"/>
      <c r="AM32" s="307"/>
      <c r="AN32" s="307"/>
      <c r="AO32" s="307"/>
    </row>
    <row r="33">
      <c r="B33" s="338" t="s">
        <v>330</v>
      </c>
      <c r="C33" s="332" t="s">
        <v>386</v>
      </c>
      <c r="D33" s="332" t="s">
        <v>332</v>
      </c>
      <c r="E33" s="332" t="s">
        <v>333</v>
      </c>
      <c r="F33" s="332" t="s">
        <v>334</v>
      </c>
      <c r="G33" s="332" t="s">
        <v>335</v>
      </c>
      <c r="H33" s="332" t="s">
        <v>336</v>
      </c>
      <c r="I33" s="332" t="s">
        <v>337</v>
      </c>
      <c r="J33" s="332" t="s">
        <v>338</v>
      </c>
      <c r="K33" s="332" t="s">
        <v>339</v>
      </c>
      <c r="L33" s="332" t="s">
        <v>340</v>
      </c>
      <c r="M33" s="332" t="s">
        <v>341</v>
      </c>
      <c r="N33" s="332" t="s">
        <v>235</v>
      </c>
      <c r="O33" s="332" t="s">
        <v>342</v>
      </c>
      <c r="P33" s="332" t="s">
        <v>229</v>
      </c>
      <c r="Q33" s="335"/>
      <c r="S33" s="321"/>
      <c r="T33" s="321"/>
      <c r="U33" s="321"/>
      <c r="V33" s="321"/>
      <c r="W33" s="338" t="s">
        <v>330</v>
      </c>
      <c r="X33" s="332" t="s">
        <v>386</v>
      </c>
      <c r="Y33" s="332" t="s">
        <v>332</v>
      </c>
      <c r="Z33" s="332" t="s">
        <v>333</v>
      </c>
      <c r="AA33" s="332" t="s">
        <v>334</v>
      </c>
      <c r="AB33" s="332" t="s">
        <v>335</v>
      </c>
      <c r="AC33" s="332" t="s">
        <v>336</v>
      </c>
      <c r="AD33" s="332" t="s">
        <v>337</v>
      </c>
      <c r="AE33" s="332" t="s">
        <v>338</v>
      </c>
      <c r="AF33" s="332" t="s">
        <v>339</v>
      </c>
      <c r="AG33" s="332" t="s">
        <v>340</v>
      </c>
      <c r="AH33" s="332" t="s">
        <v>341</v>
      </c>
      <c r="AI33" s="332" t="s">
        <v>235</v>
      </c>
      <c r="AJ33" s="332" t="s">
        <v>342</v>
      </c>
      <c r="AK33" s="332" t="s">
        <v>229</v>
      </c>
      <c r="AL33" s="335"/>
      <c r="AM33" s="158"/>
      <c r="AN33" s="158"/>
      <c r="AO33" s="158"/>
    </row>
    <row r="34">
      <c r="B34" s="330" t="s">
        <v>387</v>
      </c>
      <c r="C34" s="331"/>
      <c r="D34" s="332">
        <v>1.0</v>
      </c>
      <c r="E34" s="333">
        <v>508.4</v>
      </c>
      <c r="F34" s="333">
        <v>508.4</v>
      </c>
      <c r="G34" s="334">
        <f t="shared" ref="G34:G39" si="31">SUM(E34:F34)</f>
        <v>1016.8</v>
      </c>
      <c r="H34" s="332">
        <v>-535.0</v>
      </c>
      <c r="I34" s="332">
        <v>-478.8</v>
      </c>
      <c r="J34" s="331">
        <f t="shared" ref="J34:J39" si="32">I34-H34</f>
        <v>56.2</v>
      </c>
      <c r="K34" s="332">
        <v>-400.9</v>
      </c>
      <c r="L34" s="332">
        <v>-399.1</v>
      </c>
      <c r="M34" s="331">
        <f t="shared" ref="M34:M39" si="33">L34-K34</f>
        <v>1.8</v>
      </c>
      <c r="N34" s="331">
        <f t="shared" ref="N34:N39" si="34">(G34*J34*M34)/1000000</f>
        <v>0.102859488</v>
      </c>
      <c r="O34" s="332">
        <v>7820.0</v>
      </c>
      <c r="P34" s="331">
        <f t="shared" ref="P34:P39" si="35">N34*O34</f>
        <v>804.3611962</v>
      </c>
      <c r="Q34" s="335"/>
      <c r="S34" s="319" t="s">
        <v>388</v>
      </c>
      <c r="T34" s="319" t="s">
        <v>389</v>
      </c>
      <c r="W34" s="330" t="s">
        <v>388</v>
      </c>
      <c r="X34" s="331"/>
      <c r="Y34" s="332">
        <v>1.0</v>
      </c>
      <c r="Z34" s="333">
        <v>399.1</v>
      </c>
      <c r="AA34" s="333">
        <v>400.9</v>
      </c>
      <c r="AB34" s="334">
        <f t="shared" ref="AB34:AB39" si="36">AA34-Z34</f>
        <v>1.8</v>
      </c>
      <c r="AC34" s="332">
        <v>-535.0</v>
      </c>
      <c r="AD34" s="332">
        <v>-478.8</v>
      </c>
      <c r="AE34" s="331">
        <f t="shared" ref="AE34:AE39" si="37">AD34-AC34</f>
        <v>56.2</v>
      </c>
      <c r="AF34" s="333">
        <v>508.4</v>
      </c>
      <c r="AG34" s="333">
        <v>508.4</v>
      </c>
      <c r="AH34" s="331">
        <f t="shared" ref="AH34:AH39" si="38">AG34+AF34</f>
        <v>1016.8</v>
      </c>
      <c r="AI34" s="331">
        <f t="shared" ref="AI34:AI39" si="39">(AB34*AE34*AH34)/1000000</f>
        <v>0.102859488</v>
      </c>
      <c r="AJ34" s="332">
        <v>7820.0</v>
      </c>
      <c r="AK34" s="331">
        <f t="shared" ref="AK34:AK39" si="40">AI34*AJ34</f>
        <v>804.3611962</v>
      </c>
      <c r="AL34" s="335"/>
      <c r="AM34" s="158"/>
      <c r="AN34" s="158"/>
      <c r="AO34" s="158"/>
    </row>
    <row r="35">
      <c r="B35" s="330" t="s">
        <v>390</v>
      </c>
      <c r="C35" s="331"/>
      <c r="D35" s="332">
        <v>2.0</v>
      </c>
      <c r="E35" s="333">
        <v>508.4</v>
      </c>
      <c r="F35" s="333">
        <v>508.4</v>
      </c>
      <c r="G35" s="334">
        <f t="shared" si="31"/>
        <v>1016.8</v>
      </c>
      <c r="H35" s="332">
        <v>-535.0</v>
      </c>
      <c r="I35" s="332">
        <v>-478.8</v>
      </c>
      <c r="J35" s="331">
        <f t="shared" si="32"/>
        <v>56.2</v>
      </c>
      <c r="K35" s="332">
        <v>-240.9</v>
      </c>
      <c r="L35" s="332">
        <v>-239.1</v>
      </c>
      <c r="M35" s="331">
        <f t="shared" si="33"/>
        <v>1.8</v>
      </c>
      <c r="N35" s="331">
        <f t="shared" si="34"/>
        <v>0.102859488</v>
      </c>
      <c r="O35" s="332">
        <v>7820.0</v>
      </c>
      <c r="P35" s="331">
        <f t="shared" si="35"/>
        <v>804.3611962</v>
      </c>
      <c r="Q35" s="335"/>
      <c r="S35" s="319" t="s">
        <v>391</v>
      </c>
      <c r="T35" s="319" t="s">
        <v>389</v>
      </c>
      <c r="W35" s="330" t="s">
        <v>391</v>
      </c>
      <c r="X35" s="331"/>
      <c r="Y35" s="332">
        <v>2.0</v>
      </c>
      <c r="Z35" s="333">
        <v>239.1</v>
      </c>
      <c r="AA35" s="333">
        <v>240.9</v>
      </c>
      <c r="AB35" s="334">
        <f t="shared" si="36"/>
        <v>1.8</v>
      </c>
      <c r="AC35" s="332">
        <v>-535.0</v>
      </c>
      <c r="AD35" s="332">
        <v>-478.8</v>
      </c>
      <c r="AE35" s="331">
        <f t="shared" si="37"/>
        <v>56.2</v>
      </c>
      <c r="AF35" s="333">
        <v>508.4</v>
      </c>
      <c r="AG35" s="333">
        <v>508.4</v>
      </c>
      <c r="AH35" s="331">
        <f t="shared" si="38"/>
        <v>1016.8</v>
      </c>
      <c r="AI35" s="331">
        <f t="shared" si="39"/>
        <v>0.102859488</v>
      </c>
      <c r="AJ35" s="332">
        <v>7820.0</v>
      </c>
      <c r="AK35" s="331">
        <f t="shared" si="40"/>
        <v>804.3611962</v>
      </c>
      <c r="AL35" s="335"/>
      <c r="AM35" s="158"/>
      <c r="AN35" s="158"/>
      <c r="AO35" s="158"/>
    </row>
    <row r="36">
      <c r="B36" s="330" t="s">
        <v>392</v>
      </c>
      <c r="C36" s="331"/>
      <c r="D36" s="332">
        <v>3.0</v>
      </c>
      <c r="E36" s="333">
        <v>508.4</v>
      </c>
      <c r="F36" s="333">
        <v>508.4</v>
      </c>
      <c r="G36" s="334">
        <f t="shared" si="31"/>
        <v>1016.8</v>
      </c>
      <c r="H36" s="332">
        <v>-535.0</v>
      </c>
      <c r="I36" s="332">
        <v>-478.8</v>
      </c>
      <c r="J36" s="331">
        <f t="shared" si="32"/>
        <v>56.2</v>
      </c>
      <c r="K36" s="332">
        <v>-80.9</v>
      </c>
      <c r="L36" s="332">
        <v>-79.1</v>
      </c>
      <c r="M36" s="331">
        <f t="shared" si="33"/>
        <v>1.8</v>
      </c>
      <c r="N36" s="331">
        <f t="shared" si="34"/>
        <v>0.102859488</v>
      </c>
      <c r="O36" s="332">
        <v>7820.0</v>
      </c>
      <c r="P36" s="331">
        <f t="shared" si="35"/>
        <v>804.3611962</v>
      </c>
      <c r="Q36" s="335"/>
      <c r="S36" s="319" t="s">
        <v>393</v>
      </c>
      <c r="T36" s="319" t="s">
        <v>389</v>
      </c>
      <c r="W36" s="330" t="s">
        <v>393</v>
      </c>
      <c r="X36" s="331"/>
      <c r="Y36" s="332">
        <v>3.0</v>
      </c>
      <c r="Z36" s="333">
        <v>79.1</v>
      </c>
      <c r="AA36" s="333">
        <v>80.9</v>
      </c>
      <c r="AB36" s="334">
        <f t="shared" si="36"/>
        <v>1.8</v>
      </c>
      <c r="AC36" s="332">
        <v>-535.0</v>
      </c>
      <c r="AD36" s="332">
        <v>-478.8</v>
      </c>
      <c r="AE36" s="331">
        <f t="shared" si="37"/>
        <v>56.2</v>
      </c>
      <c r="AF36" s="333">
        <v>508.4</v>
      </c>
      <c r="AG36" s="333">
        <v>508.4</v>
      </c>
      <c r="AH36" s="331">
        <f t="shared" si="38"/>
        <v>1016.8</v>
      </c>
      <c r="AI36" s="331">
        <f t="shared" si="39"/>
        <v>0.102859488</v>
      </c>
      <c r="AJ36" s="332">
        <v>7820.0</v>
      </c>
      <c r="AK36" s="331">
        <f t="shared" si="40"/>
        <v>804.3611962</v>
      </c>
      <c r="AL36" s="335"/>
      <c r="AM36" s="158"/>
      <c r="AN36" s="158"/>
      <c r="AO36" s="158"/>
    </row>
    <row r="37">
      <c r="B37" s="330" t="s">
        <v>394</v>
      </c>
      <c r="C37" s="331"/>
      <c r="D37" s="332">
        <v>4.0</v>
      </c>
      <c r="E37" s="333">
        <v>508.4</v>
      </c>
      <c r="F37" s="333">
        <v>508.4</v>
      </c>
      <c r="G37" s="334">
        <f t="shared" si="31"/>
        <v>1016.8</v>
      </c>
      <c r="H37" s="332">
        <v>-535.0</v>
      </c>
      <c r="I37" s="332">
        <v>-478.8</v>
      </c>
      <c r="J37" s="331">
        <f t="shared" si="32"/>
        <v>56.2</v>
      </c>
      <c r="K37" s="332">
        <v>79.1</v>
      </c>
      <c r="L37" s="332">
        <v>80.9</v>
      </c>
      <c r="M37" s="331">
        <f t="shared" si="33"/>
        <v>1.8</v>
      </c>
      <c r="N37" s="331">
        <f t="shared" si="34"/>
        <v>0.102859488</v>
      </c>
      <c r="O37" s="332">
        <v>7820.0</v>
      </c>
      <c r="P37" s="331">
        <f t="shared" si="35"/>
        <v>804.3611962</v>
      </c>
      <c r="Q37" s="335"/>
      <c r="S37" s="319" t="s">
        <v>395</v>
      </c>
      <c r="T37" s="319" t="s">
        <v>389</v>
      </c>
      <c r="W37" s="330" t="s">
        <v>395</v>
      </c>
      <c r="X37" s="331"/>
      <c r="Y37" s="332">
        <v>4.0</v>
      </c>
      <c r="Z37" s="333">
        <v>-80.9</v>
      </c>
      <c r="AA37" s="333">
        <v>-79.1</v>
      </c>
      <c r="AB37" s="334">
        <f t="shared" si="36"/>
        <v>1.8</v>
      </c>
      <c r="AC37" s="332">
        <v>-535.0</v>
      </c>
      <c r="AD37" s="332">
        <v>-478.8</v>
      </c>
      <c r="AE37" s="331">
        <f t="shared" si="37"/>
        <v>56.2</v>
      </c>
      <c r="AF37" s="333">
        <v>508.4</v>
      </c>
      <c r="AG37" s="333">
        <v>508.4</v>
      </c>
      <c r="AH37" s="331">
        <f t="shared" si="38"/>
        <v>1016.8</v>
      </c>
      <c r="AI37" s="331">
        <f t="shared" si="39"/>
        <v>0.102859488</v>
      </c>
      <c r="AJ37" s="332">
        <v>7820.0</v>
      </c>
      <c r="AK37" s="331">
        <f t="shared" si="40"/>
        <v>804.3611962</v>
      </c>
      <c r="AL37" s="335"/>
      <c r="AM37" s="158"/>
      <c r="AN37" s="158"/>
      <c r="AO37" s="158"/>
    </row>
    <row r="38">
      <c r="B38" s="330" t="s">
        <v>396</v>
      </c>
      <c r="C38" s="331"/>
      <c r="D38" s="332">
        <v>5.0</v>
      </c>
      <c r="E38" s="333">
        <v>508.4</v>
      </c>
      <c r="F38" s="333">
        <v>508.4</v>
      </c>
      <c r="G38" s="334">
        <f t="shared" si="31"/>
        <v>1016.8</v>
      </c>
      <c r="H38" s="332">
        <v>-535.0</v>
      </c>
      <c r="I38" s="332">
        <v>-478.8</v>
      </c>
      <c r="J38" s="331">
        <f t="shared" si="32"/>
        <v>56.2</v>
      </c>
      <c r="K38" s="332">
        <v>239.1</v>
      </c>
      <c r="L38" s="332">
        <v>240.9</v>
      </c>
      <c r="M38" s="331">
        <f t="shared" si="33"/>
        <v>1.8</v>
      </c>
      <c r="N38" s="331">
        <f t="shared" si="34"/>
        <v>0.102859488</v>
      </c>
      <c r="O38" s="332">
        <v>7820.0</v>
      </c>
      <c r="P38" s="331">
        <f t="shared" si="35"/>
        <v>804.3611962</v>
      </c>
      <c r="Q38" s="335"/>
      <c r="S38" s="319" t="s">
        <v>397</v>
      </c>
      <c r="T38" s="319" t="s">
        <v>389</v>
      </c>
      <c r="W38" s="330" t="s">
        <v>397</v>
      </c>
      <c r="X38" s="331"/>
      <c r="Y38" s="332">
        <v>5.0</v>
      </c>
      <c r="Z38" s="333">
        <v>-240.9</v>
      </c>
      <c r="AA38" s="333">
        <v>-239.1</v>
      </c>
      <c r="AB38" s="334">
        <f t="shared" si="36"/>
        <v>1.8</v>
      </c>
      <c r="AC38" s="332">
        <v>-535.0</v>
      </c>
      <c r="AD38" s="332">
        <v>-478.8</v>
      </c>
      <c r="AE38" s="331">
        <f t="shared" si="37"/>
        <v>56.2</v>
      </c>
      <c r="AF38" s="333">
        <v>508.4</v>
      </c>
      <c r="AG38" s="333">
        <v>508.4</v>
      </c>
      <c r="AH38" s="331">
        <f t="shared" si="38"/>
        <v>1016.8</v>
      </c>
      <c r="AI38" s="331">
        <f t="shared" si="39"/>
        <v>0.102859488</v>
      </c>
      <c r="AJ38" s="332">
        <v>7820.0</v>
      </c>
      <c r="AK38" s="331">
        <f t="shared" si="40"/>
        <v>804.3611962</v>
      </c>
      <c r="AL38" s="335"/>
      <c r="AM38" s="158"/>
      <c r="AN38" s="158"/>
      <c r="AO38" s="158"/>
    </row>
    <row r="39">
      <c r="B39" s="330" t="s">
        <v>398</v>
      </c>
      <c r="C39" s="331"/>
      <c r="D39" s="332">
        <v>6.0</v>
      </c>
      <c r="E39" s="333">
        <v>508.4</v>
      </c>
      <c r="F39" s="333">
        <v>508.4</v>
      </c>
      <c r="G39" s="334">
        <f t="shared" si="31"/>
        <v>1016.8</v>
      </c>
      <c r="H39" s="332">
        <v>-535.0</v>
      </c>
      <c r="I39" s="332">
        <v>-478.8</v>
      </c>
      <c r="J39" s="331">
        <f t="shared" si="32"/>
        <v>56.2</v>
      </c>
      <c r="K39" s="332">
        <v>399.1</v>
      </c>
      <c r="L39" s="332">
        <v>400.9</v>
      </c>
      <c r="M39" s="331">
        <f t="shared" si="33"/>
        <v>1.8</v>
      </c>
      <c r="N39" s="331">
        <f t="shared" si="34"/>
        <v>0.102859488</v>
      </c>
      <c r="O39" s="332">
        <v>7820.0</v>
      </c>
      <c r="P39" s="331">
        <f t="shared" si="35"/>
        <v>804.3611962</v>
      </c>
      <c r="Q39" s="335"/>
      <c r="S39" s="319" t="s">
        <v>399</v>
      </c>
      <c r="T39" s="319" t="s">
        <v>389</v>
      </c>
      <c r="W39" s="330" t="s">
        <v>399</v>
      </c>
      <c r="X39" s="331"/>
      <c r="Y39" s="332">
        <v>6.0</v>
      </c>
      <c r="Z39" s="333">
        <v>-400.9</v>
      </c>
      <c r="AA39" s="333">
        <v>-399.1</v>
      </c>
      <c r="AB39" s="334">
        <f t="shared" si="36"/>
        <v>1.8</v>
      </c>
      <c r="AC39" s="332">
        <v>-535.0</v>
      </c>
      <c r="AD39" s="332">
        <v>-478.8</v>
      </c>
      <c r="AE39" s="331">
        <f t="shared" si="37"/>
        <v>56.2</v>
      </c>
      <c r="AF39" s="333">
        <v>508.4</v>
      </c>
      <c r="AG39" s="333">
        <v>508.4</v>
      </c>
      <c r="AH39" s="331">
        <f t="shared" si="38"/>
        <v>1016.8</v>
      </c>
      <c r="AI39" s="331">
        <f t="shared" si="39"/>
        <v>0.102859488</v>
      </c>
      <c r="AJ39" s="332">
        <v>7820.0</v>
      </c>
      <c r="AK39" s="331">
        <f t="shared" si="40"/>
        <v>804.3611962</v>
      </c>
      <c r="AL39" s="335"/>
      <c r="AM39" s="158"/>
      <c r="AN39" s="158"/>
      <c r="AO39" s="158"/>
    </row>
    <row r="40">
      <c r="B40" s="336"/>
      <c r="C40" s="331"/>
      <c r="D40" s="332" t="s">
        <v>294</v>
      </c>
      <c r="E40" s="331"/>
      <c r="F40" s="331"/>
      <c r="G40" s="331"/>
      <c r="H40" s="331"/>
      <c r="I40" s="331"/>
      <c r="J40" s="331"/>
      <c r="K40" s="331"/>
      <c r="L40" s="331"/>
      <c r="M40" s="331"/>
      <c r="N40" s="331">
        <f>SUM(N34:N39)</f>
        <v>0.617156928</v>
      </c>
      <c r="O40" s="331"/>
      <c r="P40" s="331">
        <f>SUM(P34:P39)</f>
        <v>4826.167177</v>
      </c>
      <c r="Q40" s="335"/>
      <c r="S40" s="321"/>
      <c r="T40" s="321"/>
      <c r="U40" s="321"/>
      <c r="V40" s="321"/>
      <c r="W40" s="336"/>
      <c r="X40" s="331"/>
      <c r="Y40" s="332" t="s">
        <v>294</v>
      </c>
      <c r="Z40" s="331"/>
      <c r="AA40" s="331"/>
      <c r="AB40" s="331"/>
      <c r="AC40" s="331"/>
      <c r="AD40" s="331"/>
      <c r="AE40" s="331"/>
      <c r="AF40" s="331"/>
      <c r="AG40" s="331"/>
      <c r="AH40" s="331"/>
      <c r="AI40" s="331">
        <f>SUM(AI34:AI39)</f>
        <v>0.617156928</v>
      </c>
      <c r="AJ40" s="331"/>
      <c r="AK40" s="331">
        <f>SUM(AK34:AK39)</f>
        <v>4826.167177</v>
      </c>
      <c r="AL40" s="335"/>
      <c r="AM40" s="158">
        <f>AI40+N40</f>
        <v>1.234313856</v>
      </c>
      <c r="AN40" s="158"/>
      <c r="AO40" s="158"/>
    </row>
    <row r="41">
      <c r="B41" s="339"/>
      <c r="C41" s="340"/>
      <c r="D41" s="340"/>
      <c r="E41" s="340"/>
      <c r="F41" s="340"/>
      <c r="G41" s="340"/>
      <c r="H41" s="340"/>
      <c r="I41" s="340"/>
      <c r="J41" s="340"/>
      <c r="K41" s="340"/>
      <c r="L41" s="340"/>
      <c r="M41" s="340"/>
      <c r="N41" s="340"/>
      <c r="O41" s="340"/>
      <c r="P41" s="340">
        <f>P40/1000</f>
        <v>4.826167177</v>
      </c>
      <c r="Q41" s="341" t="s">
        <v>371</v>
      </c>
      <c r="S41" s="321"/>
      <c r="T41" s="321"/>
      <c r="U41" s="321"/>
      <c r="V41" s="321"/>
      <c r="W41" s="339"/>
      <c r="X41" s="340"/>
      <c r="Y41" s="340"/>
      <c r="Z41" s="340"/>
      <c r="AA41" s="340"/>
      <c r="AB41" s="340"/>
      <c r="AC41" s="340"/>
      <c r="AD41" s="340"/>
      <c r="AE41" s="340"/>
      <c r="AF41" s="340"/>
      <c r="AG41" s="340"/>
      <c r="AH41" s="340"/>
      <c r="AI41" s="340"/>
      <c r="AJ41" s="340"/>
      <c r="AK41" s="340">
        <f>AK40/1000</f>
        <v>4.826167177</v>
      </c>
      <c r="AL41" s="341" t="s">
        <v>371</v>
      </c>
      <c r="AM41" s="307"/>
      <c r="AN41" s="307"/>
      <c r="AO41" s="307"/>
    </row>
    <row r="42">
      <c r="S42" s="321"/>
      <c r="T42" s="321"/>
      <c r="U42" s="321"/>
      <c r="V42" s="321"/>
      <c r="AM42" s="158"/>
      <c r="AN42" s="158"/>
      <c r="AO42" s="158"/>
    </row>
    <row r="43">
      <c r="B43" s="342" t="s">
        <v>330</v>
      </c>
      <c r="C43" s="343" t="s">
        <v>400</v>
      </c>
      <c r="D43" s="343" t="s">
        <v>332</v>
      </c>
      <c r="E43" s="343" t="s">
        <v>333</v>
      </c>
      <c r="F43" s="343" t="s">
        <v>334</v>
      </c>
      <c r="G43" s="343" t="s">
        <v>335</v>
      </c>
      <c r="H43" s="343" t="s">
        <v>336</v>
      </c>
      <c r="I43" s="343" t="s">
        <v>337</v>
      </c>
      <c r="J43" s="343" t="s">
        <v>338</v>
      </c>
      <c r="K43" s="343" t="s">
        <v>339</v>
      </c>
      <c r="L43" s="343" t="s">
        <v>340</v>
      </c>
      <c r="M43" s="343" t="s">
        <v>341</v>
      </c>
      <c r="N43" s="343" t="s">
        <v>235</v>
      </c>
      <c r="O43" s="343" t="s">
        <v>342</v>
      </c>
      <c r="P43" s="343" t="s">
        <v>229</v>
      </c>
      <c r="Q43" s="344"/>
      <c r="S43" s="319" t="s">
        <v>401</v>
      </c>
      <c r="T43" s="319" t="s">
        <v>402</v>
      </c>
      <c r="U43" s="321"/>
      <c r="V43" s="321"/>
      <c r="W43" s="342" t="s">
        <v>330</v>
      </c>
      <c r="X43" s="343" t="s">
        <v>400</v>
      </c>
      <c r="Y43" s="343" t="s">
        <v>332</v>
      </c>
      <c r="Z43" s="343" t="s">
        <v>333</v>
      </c>
      <c r="AA43" s="343" t="s">
        <v>334</v>
      </c>
      <c r="AB43" s="343" t="s">
        <v>335</v>
      </c>
      <c r="AC43" s="343" t="s">
        <v>336</v>
      </c>
      <c r="AD43" s="343" t="s">
        <v>337</v>
      </c>
      <c r="AE43" s="343" t="s">
        <v>338</v>
      </c>
      <c r="AF43" s="343" t="s">
        <v>339</v>
      </c>
      <c r="AG43" s="343" t="s">
        <v>340</v>
      </c>
      <c r="AH43" s="343" t="s">
        <v>341</v>
      </c>
      <c r="AI43" s="343" t="s">
        <v>235</v>
      </c>
      <c r="AJ43" s="343" t="s">
        <v>342</v>
      </c>
      <c r="AK43" s="343" t="s">
        <v>229</v>
      </c>
      <c r="AL43" s="344"/>
      <c r="AM43" s="158"/>
      <c r="AN43" s="158"/>
      <c r="AO43" s="158"/>
    </row>
    <row r="44">
      <c r="B44" s="345" t="s">
        <v>403</v>
      </c>
      <c r="C44" s="346"/>
      <c r="D44" s="347">
        <v>1.0</v>
      </c>
      <c r="E44" s="348">
        <v>511.2</v>
      </c>
      <c r="F44" s="348">
        <v>567.4</v>
      </c>
      <c r="G44" s="349">
        <f t="shared" ref="G44:G49" si="41">F44-E44</f>
        <v>56.2</v>
      </c>
      <c r="H44" s="347">
        <v>535.0</v>
      </c>
      <c r="I44" s="347">
        <v>535.0</v>
      </c>
      <c r="J44" s="346">
        <f t="shared" ref="J44:J49" si="42">I44+H44</f>
        <v>1070</v>
      </c>
      <c r="K44" s="347">
        <v>399.1</v>
      </c>
      <c r="L44" s="347">
        <v>400.9</v>
      </c>
      <c r="M44" s="346">
        <f t="shared" ref="M44:M49" si="43">L44-K44</f>
        <v>1.8</v>
      </c>
      <c r="N44" s="346">
        <f t="shared" ref="N44:N49" si="44">(G44*J44*M44)/1000000</f>
        <v>0.1082412</v>
      </c>
      <c r="O44" s="347">
        <v>7820.0</v>
      </c>
      <c r="P44" s="346">
        <f t="shared" ref="P44:P49" si="45">N44*O44</f>
        <v>846.446184</v>
      </c>
      <c r="Q44" s="350"/>
      <c r="S44" s="319" t="s">
        <v>404</v>
      </c>
      <c r="T44" s="319" t="s">
        <v>405</v>
      </c>
      <c r="W44" s="345" t="s">
        <v>404</v>
      </c>
      <c r="X44" s="346"/>
      <c r="Y44" s="347">
        <v>1.0</v>
      </c>
      <c r="Z44" s="348">
        <v>511.2</v>
      </c>
      <c r="AA44" s="348">
        <v>567.4</v>
      </c>
      <c r="AB44" s="349">
        <f t="shared" ref="AB44:AB49" si="46">AA44-Z44</f>
        <v>56.2</v>
      </c>
      <c r="AC44" s="347">
        <v>399.1</v>
      </c>
      <c r="AD44" s="347">
        <v>400.9</v>
      </c>
      <c r="AE44" s="346">
        <f t="shared" ref="AE44:AE49" si="47">AD44-AC44</f>
        <v>1.8</v>
      </c>
      <c r="AF44" s="347">
        <v>508.4</v>
      </c>
      <c r="AG44" s="347">
        <v>508.4</v>
      </c>
      <c r="AH44" s="346">
        <f t="shared" ref="AH44:AH49" si="48">SUM(AF44:AG44)</f>
        <v>1016.8</v>
      </c>
      <c r="AI44" s="346">
        <f t="shared" ref="AI44:AI49" si="49">(AB44*AE44*AH44)/1000000</f>
        <v>0.102859488</v>
      </c>
      <c r="AJ44" s="347">
        <v>7820.0</v>
      </c>
      <c r="AK44" s="346">
        <f t="shared" ref="AK44:AK49" si="50">AI44*AJ44</f>
        <v>804.3611962</v>
      </c>
      <c r="AL44" s="350"/>
      <c r="AM44" s="158"/>
      <c r="AN44" s="158"/>
      <c r="AO44" s="158"/>
    </row>
    <row r="45">
      <c r="B45" s="345" t="s">
        <v>406</v>
      </c>
      <c r="C45" s="346"/>
      <c r="D45" s="347">
        <v>2.0</v>
      </c>
      <c r="E45" s="348">
        <v>511.2</v>
      </c>
      <c r="F45" s="348">
        <v>567.4</v>
      </c>
      <c r="G45" s="349">
        <f t="shared" si="41"/>
        <v>56.2</v>
      </c>
      <c r="H45" s="347">
        <v>535.0</v>
      </c>
      <c r="I45" s="347">
        <v>535.0</v>
      </c>
      <c r="J45" s="346">
        <f t="shared" si="42"/>
        <v>1070</v>
      </c>
      <c r="K45" s="347">
        <v>239.1</v>
      </c>
      <c r="L45" s="347">
        <v>240.9</v>
      </c>
      <c r="M45" s="346">
        <f t="shared" si="43"/>
        <v>1.8</v>
      </c>
      <c r="N45" s="346">
        <f t="shared" si="44"/>
        <v>0.1082412</v>
      </c>
      <c r="O45" s="347">
        <v>7820.0</v>
      </c>
      <c r="P45" s="346">
        <f t="shared" si="45"/>
        <v>846.446184</v>
      </c>
      <c r="Q45" s="350"/>
      <c r="S45" s="319" t="s">
        <v>407</v>
      </c>
      <c r="T45" s="351" t="s">
        <v>405</v>
      </c>
      <c r="U45" s="321"/>
      <c r="V45" s="321"/>
      <c r="W45" s="345" t="s">
        <v>407</v>
      </c>
      <c r="X45" s="346"/>
      <c r="Y45" s="347">
        <v>2.0</v>
      </c>
      <c r="Z45" s="348">
        <v>511.2</v>
      </c>
      <c r="AA45" s="348">
        <v>567.4</v>
      </c>
      <c r="AB45" s="349">
        <f t="shared" si="46"/>
        <v>56.2</v>
      </c>
      <c r="AC45" s="347">
        <v>239.1</v>
      </c>
      <c r="AD45" s="347">
        <v>240.9</v>
      </c>
      <c r="AE45" s="346">
        <f t="shared" si="47"/>
        <v>1.8</v>
      </c>
      <c r="AF45" s="347">
        <v>508.4</v>
      </c>
      <c r="AG45" s="347">
        <v>508.4</v>
      </c>
      <c r="AH45" s="346">
        <f t="shared" si="48"/>
        <v>1016.8</v>
      </c>
      <c r="AI45" s="346">
        <f t="shared" si="49"/>
        <v>0.102859488</v>
      </c>
      <c r="AJ45" s="347">
        <v>7820.0</v>
      </c>
      <c r="AK45" s="346">
        <f t="shared" si="50"/>
        <v>804.3611962</v>
      </c>
      <c r="AL45" s="350"/>
      <c r="AM45" s="158"/>
      <c r="AN45" s="158"/>
      <c r="AO45" s="158"/>
    </row>
    <row r="46">
      <c r="B46" s="345" t="s">
        <v>408</v>
      </c>
      <c r="C46" s="346"/>
      <c r="D46" s="347">
        <v>3.0</v>
      </c>
      <c r="E46" s="348">
        <v>511.2</v>
      </c>
      <c r="F46" s="348">
        <v>567.4</v>
      </c>
      <c r="G46" s="349">
        <f t="shared" si="41"/>
        <v>56.2</v>
      </c>
      <c r="H46" s="347">
        <v>535.0</v>
      </c>
      <c r="I46" s="347">
        <v>535.0</v>
      </c>
      <c r="J46" s="346">
        <f t="shared" si="42"/>
        <v>1070</v>
      </c>
      <c r="K46" s="347">
        <v>79.1</v>
      </c>
      <c r="L46" s="347">
        <v>80.9</v>
      </c>
      <c r="M46" s="346">
        <f t="shared" si="43"/>
        <v>1.8</v>
      </c>
      <c r="N46" s="346">
        <f t="shared" si="44"/>
        <v>0.1082412</v>
      </c>
      <c r="O46" s="347">
        <v>7820.0</v>
      </c>
      <c r="P46" s="346">
        <f t="shared" si="45"/>
        <v>846.446184</v>
      </c>
      <c r="Q46" s="350"/>
      <c r="S46" s="319" t="s">
        <v>409</v>
      </c>
      <c r="T46" s="351" t="s">
        <v>405</v>
      </c>
      <c r="U46" s="321"/>
      <c r="V46" s="321"/>
      <c r="W46" s="345" t="s">
        <v>409</v>
      </c>
      <c r="X46" s="346"/>
      <c r="Y46" s="347">
        <v>3.0</v>
      </c>
      <c r="Z46" s="348">
        <v>511.2</v>
      </c>
      <c r="AA46" s="348">
        <v>567.4</v>
      </c>
      <c r="AB46" s="349">
        <f t="shared" si="46"/>
        <v>56.2</v>
      </c>
      <c r="AC46" s="347">
        <v>79.1</v>
      </c>
      <c r="AD46" s="347">
        <v>80.9</v>
      </c>
      <c r="AE46" s="346">
        <f t="shared" si="47"/>
        <v>1.8</v>
      </c>
      <c r="AF46" s="347">
        <v>508.4</v>
      </c>
      <c r="AG46" s="347">
        <v>508.4</v>
      </c>
      <c r="AH46" s="346">
        <f t="shared" si="48"/>
        <v>1016.8</v>
      </c>
      <c r="AI46" s="346">
        <f t="shared" si="49"/>
        <v>0.102859488</v>
      </c>
      <c r="AJ46" s="347">
        <v>7820.0</v>
      </c>
      <c r="AK46" s="346">
        <f t="shared" si="50"/>
        <v>804.3611962</v>
      </c>
      <c r="AL46" s="350"/>
      <c r="AM46" s="158"/>
      <c r="AN46" s="158"/>
      <c r="AO46" s="158"/>
    </row>
    <row r="47">
      <c r="B47" s="345" t="s">
        <v>410</v>
      </c>
      <c r="C47" s="346"/>
      <c r="D47" s="347">
        <v>4.0</v>
      </c>
      <c r="E47" s="348">
        <v>511.2</v>
      </c>
      <c r="F47" s="348">
        <v>567.4</v>
      </c>
      <c r="G47" s="349">
        <f t="shared" si="41"/>
        <v>56.2</v>
      </c>
      <c r="H47" s="347">
        <v>535.0</v>
      </c>
      <c r="I47" s="347">
        <v>535.0</v>
      </c>
      <c r="J47" s="346">
        <f t="shared" si="42"/>
        <v>1070</v>
      </c>
      <c r="K47" s="347">
        <v>-80.9</v>
      </c>
      <c r="L47" s="347">
        <v>-79.1</v>
      </c>
      <c r="M47" s="346">
        <f t="shared" si="43"/>
        <v>1.8</v>
      </c>
      <c r="N47" s="346">
        <f t="shared" si="44"/>
        <v>0.1082412</v>
      </c>
      <c r="O47" s="347">
        <v>7820.0</v>
      </c>
      <c r="P47" s="346">
        <f t="shared" si="45"/>
        <v>846.446184</v>
      </c>
      <c r="Q47" s="350"/>
      <c r="S47" s="319" t="s">
        <v>411</v>
      </c>
      <c r="T47" s="351" t="s">
        <v>405</v>
      </c>
      <c r="U47" s="321"/>
      <c r="V47" s="321"/>
      <c r="W47" s="345" t="s">
        <v>411</v>
      </c>
      <c r="X47" s="346"/>
      <c r="Y47" s="347">
        <v>4.0</v>
      </c>
      <c r="Z47" s="348">
        <v>511.2</v>
      </c>
      <c r="AA47" s="348">
        <v>567.4</v>
      </c>
      <c r="AB47" s="349">
        <f t="shared" si="46"/>
        <v>56.2</v>
      </c>
      <c r="AC47" s="347">
        <v>-80.9</v>
      </c>
      <c r="AD47" s="347">
        <v>-79.1</v>
      </c>
      <c r="AE47" s="346">
        <f t="shared" si="47"/>
        <v>1.8</v>
      </c>
      <c r="AF47" s="347">
        <v>508.4</v>
      </c>
      <c r="AG47" s="347">
        <v>508.4</v>
      </c>
      <c r="AH47" s="346">
        <f t="shared" si="48"/>
        <v>1016.8</v>
      </c>
      <c r="AI47" s="346">
        <f t="shared" si="49"/>
        <v>0.102859488</v>
      </c>
      <c r="AJ47" s="347">
        <v>7820.0</v>
      </c>
      <c r="AK47" s="346">
        <f t="shared" si="50"/>
        <v>804.3611962</v>
      </c>
      <c r="AL47" s="350"/>
      <c r="AM47" s="158"/>
      <c r="AN47" s="158"/>
      <c r="AO47" s="158"/>
    </row>
    <row r="48">
      <c r="B48" s="345" t="s">
        <v>412</v>
      </c>
      <c r="C48" s="346"/>
      <c r="D48" s="347">
        <v>5.0</v>
      </c>
      <c r="E48" s="348">
        <v>511.2</v>
      </c>
      <c r="F48" s="348">
        <v>567.4</v>
      </c>
      <c r="G48" s="349">
        <f t="shared" si="41"/>
        <v>56.2</v>
      </c>
      <c r="H48" s="347">
        <v>535.0</v>
      </c>
      <c r="I48" s="347">
        <v>535.0</v>
      </c>
      <c r="J48" s="346">
        <f t="shared" si="42"/>
        <v>1070</v>
      </c>
      <c r="K48" s="347">
        <v>-240.9</v>
      </c>
      <c r="L48" s="347">
        <v>-239.1</v>
      </c>
      <c r="M48" s="346">
        <f t="shared" si="43"/>
        <v>1.8</v>
      </c>
      <c r="N48" s="346">
        <f t="shared" si="44"/>
        <v>0.1082412</v>
      </c>
      <c r="O48" s="347">
        <v>7820.0</v>
      </c>
      <c r="P48" s="346">
        <f t="shared" si="45"/>
        <v>846.446184</v>
      </c>
      <c r="Q48" s="350"/>
      <c r="S48" s="319" t="s">
        <v>413</v>
      </c>
      <c r="T48" s="351" t="s">
        <v>405</v>
      </c>
      <c r="U48" s="321"/>
      <c r="V48" s="321"/>
      <c r="W48" s="345" t="s">
        <v>413</v>
      </c>
      <c r="X48" s="346"/>
      <c r="Y48" s="347">
        <v>5.0</v>
      </c>
      <c r="Z48" s="348">
        <v>511.2</v>
      </c>
      <c r="AA48" s="348">
        <v>567.4</v>
      </c>
      <c r="AB48" s="349">
        <f t="shared" si="46"/>
        <v>56.2</v>
      </c>
      <c r="AC48" s="347">
        <v>-240.9</v>
      </c>
      <c r="AD48" s="347">
        <v>-239.1</v>
      </c>
      <c r="AE48" s="346">
        <f t="shared" si="47"/>
        <v>1.8</v>
      </c>
      <c r="AF48" s="347">
        <v>508.4</v>
      </c>
      <c r="AG48" s="347">
        <v>508.4</v>
      </c>
      <c r="AH48" s="346">
        <f t="shared" si="48"/>
        <v>1016.8</v>
      </c>
      <c r="AI48" s="346">
        <f t="shared" si="49"/>
        <v>0.102859488</v>
      </c>
      <c r="AJ48" s="347">
        <v>7820.0</v>
      </c>
      <c r="AK48" s="346">
        <f t="shared" si="50"/>
        <v>804.3611962</v>
      </c>
      <c r="AL48" s="350"/>
      <c r="AM48" s="158"/>
      <c r="AN48" s="158"/>
      <c r="AO48" s="158"/>
    </row>
    <row r="49">
      <c r="B49" s="345" t="s">
        <v>414</v>
      </c>
      <c r="C49" s="346"/>
      <c r="D49" s="347">
        <v>6.0</v>
      </c>
      <c r="E49" s="348">
        <v>511.2</v>
      </c>
      <c r="F49" s="348">
        <v>567.4</v>
      </c>
      <c r="G49" s="349">
        <f t="shared" si="41"/>
        <v>56.2</v>
      </c>
      <c r="H49" s="347">
        <v>535.0</v>
      </c>
      <c r="I49" s="347">
        <v>535.0</v>
      </c>
      <c r="J49" s="346">
        <f t="shared" si="42"/>
        <v>1070</v>
      </c>
      <c r="K49" s="347">
        <v>-400.9</v>
      </c>
      <c r="L49" s="347">
        <v>-399.1</v>
      </c>
      <c r="M49" s="346">
        <f t="shared" si="43"/>
        <v>1.8</v>
      </c>
      <c r="N49" s="346">
        <f t="shared" si="44"/>
        <v>0.1082412</v>
      </c>
      <c r="O49" s="347">
        <v>7820.0</v>
      </c>
      <c r="P49" s="346">
        <f t="shared" si="45"/>
        <v>846.446184</v>
      </c>
      <c r="Q49" s="350"/>
      <c r="S49" s="319" t="s">
        <v>415</v>
      </c>
      <c r="T49" s="351" t="s">
        <v>405</v>
      </c>
      <c r="U49" s="321"/>
      <c r="V49" s="321"/>
      <c r="W49" s="345" t="s">
        <v>415</v>
      </c>
      <c r="X49" s="346"/>
      <c r="Y49" s="347">
        <v>6.0</v>
      </c>
      <c r="Z49" s="348">
        <v>511.2</v>
      </c>
      <c r="AA49" s="348">
        <v>567.4</v>
      </c>
      <c r="AB49" s="349">
        <f t="shared" si="46"/>
        <v>56.2</v>
      </c>
      <c r="AC49" s="347">
        <v>-400.9</v>
      </c>
      <c r="AD49" s="347">
        <v>-399.1</v>
      </c>
      <c r="AE49" s="346">
        <f t="shared" si="47"/>
        <v>1.8</v>
      </c>
      <c r="AF49" s="347">
        <v>508.4</v>
      </c>
      <c r="AG49" s="347">
        <v>508.4</v>
      </c>
      <c r="AH49" s="346">
        <f t="shared" si="48"/>
        <v>1016.8</v>
      </c>
      <c r="AI49" s="346">
        <f t="shared" si="49"/>
        <v>0.102859488</v>
      </c>
      <c r="AJ49" s="347">
        <v>7820.0</v>
      </c>
      <c r="AK49" s="346">
        <f t="shared" si="50"/>
        <v>804.3611962</v>
      </c>
      <c r="AL49" s="350"/>
      <c r="AM49" s="158"/>
      <c r="AN49" s="158"/>
      <c r="AO49" s="158"/>
    </row>
    <row r="50">
      <c r="B50" s="352"/>
      <c r="C50" s="346"/>
      <c r="D50" s="347" t="s">
        <v>294</v>
      </c>
      <c r="E50" s="346"/>
      <c r="F50" s="346"/>
      <c r="G50" s="346"/>
      <c r="H50" s="346"/>
      <c r="I50" s="346"/>
      <c r="J50" s="346"/>
      <c r="K50" s="346"/>
      <c r="L50" s="346"/>
      <c r="M50" s="346"/>
      <c r="N50" s="346">
        <f>SUM(N44:N49)</f>
        <v>0.6494472</v>
      </c>
      <c r="O50" s="346"/>
      <c r="P50" s="346">
        <f>SUM(P44:P49)</f>
        <v>5078.677104</v>
      </c>
      <c r="Q50" s="350"/>
      <c r="S50" s="321"/>
      <c r="T50" s="321"/>
      <c r="U50" s="321"/>
      <c r="V50" s="321"/>
      <c r="W50" s="352"/>
      <c r="X50" s="346"/>
      <c r="Y50" s="347" t="s">
        <v>294</v>
      </c>
      <c r="Z50" s="346"/>
      <c r="AA50" s="346"/>
      <c r="AB50" s="346"/>
      <c r="AC50" s="346"/>
      <c r="AD50" s="346"/>
      <c r="AE50" s="346"/>
      <c r="AF50" s="346"/>
      <c r="AG50" s="346"/>
      <c r="AH50" s="346"/>
      <c r="AI50" s="346">
        <f>SUM(AI44:AI49)</f>
        <v>0.617156928</v>
      </c>
      <c r="AJ50" s="346"/>
      <c r="AK50" s="346">
        <f>SUM(AK44:AK49)</f>
        <v>4826.167177</v>
      </c>
      <c r="AL50" s="350"/>
      <c r="AM50" s="158">
        <f>AI50+N50</f>
        <v>1.266604128</v>
      </c>
      <c r="AN50" s="158"/>
      <c r="AO50" s="158"/>
    </row>
    <row r="51">
      <c r="B51" s="352"/>
      <c r="C51" s="346"/>
      <c r="D51" s="346"/>
      <c r="E51" s="346"/>
      <c r="F51" s="346"/>
      <c r="G51" s="346"/>
      <c r="H51" s="346"/>
      <c r="I51" s="346"/>
      <c r="J51" s="346"/>
      <c r="K51" s="346"/>
      <c r="L51" s="346"/>
      <c r="M51" s="346"/>
      <c r="N51" s="346"/>
      <c r="O51" s="346"/>
      <c r="P51" s="346">
        <f>P50/1000</f>
        <v>5.078677104</v>
      </c>
      <c r="Q51" s="353" t="s">
        <v>371</v>
      </c>
      <c r="S51" s="321"/>
      <c r="T51" s="321"/>
      <c r="U51" s="321"/>
      <c r="V51" s="321"/>
      <c r="W51" s="352"/>
      <c r="X51" s="346"/>
      <c r="Y51" s="346"/>
      <c r="Z51" s="346"/>
      <c r="AA51" s="346"/>
      <c r="AB51" s="346"/>
      <c r="AC51" s="346"/>
      <c r="AD51" s="346"/>
      <c r="AE51" s="346"/>
      <c r="AF51" s="346"/>
      <c r="AG51" s="346"/>
      <c r="AH51" s="346"/>
      <c r="AI51" s="346"/>
      <c r="AJ51" s="346"/>
      <c r="AK51" s="346">
        <f>AK50/1000</f>
        <v>4.826167177</v>
      </c>
      <c r="AL51" s="353" t="s">
        <v>371</v>
      </c>
      <c r="AM51" s="307"/>
      <c r="AN51" s="307"/>
      <c r="AO51" s="307"/>
    </row>
    <row r="52">
      <c r="B52" s="352"/>
      <c r="C52" s="346"/>
      <c r="D52" s="346"/>
      <c r="E52" s="346"/>
      <c r="F52" s="346"/>
      <c r="G52" s="346"/>
      <c r="H52" s="346"/>
      <c r="I52" s="346"/>
      <c r="J52" s="346"/>
      <c r="K52" s="346"/>
      <c r="L52" s="346"/>
      <c r="M52" s="346"/>
      <c r="N52" s="346"/>
      <c r="O52" s="346"/>
      <c r="P52" s="346"/>
      <c r="Q52" s="353"/>
      <c r="S52" s="321"/>
      <c r="T52" s="321"/>
      <c r="U52" s="321"/>
      <c r="V52" s="321"/>
      <c r="W52" s="352"/>
      <c r="X52" s="346"/>
      <c r="Y52" s="346"/>
      <c r="Z52" s="346"/>
      <c r="AA52" s="346"/>
      <c r="AB52" s="346"/>
      <c r="AC52" s="346"/>
      <c r="AD52" s="346"/>
      <c r="AE52" s="346"/>
      <c r="AF52" s="346"/>
      <c r="AG52" s="346"/>
      <c r="AH52" s="346"/>
      <c r="AI52" s="346"/>
      <c r="AJ52" s="346"/>
      <c r="AK52" s="346"/>
      <c r="AL52" s="353"/>
      <c r="AM52" s="307"/>
      <c r="AN52" s="307"/>
      <c r="AO52" s="307"/>
    </row>
    <row r="53">
      <c r="B53" s="354" t="s">
        <v>330</v>
      </c>
      <c r="C53" s="347" t="s">
        <v>416</v>
      </c>
      <c r="D53" s="347" t="s">
        <v>332</v>
      </c>
      <c r="E53" s="347" t="s">
        <v>333</v>
      </c>
      <c r="F53" s="347" t="s">
        <v>334</v>
      </c>
      <c r="G53" s="347" t="s">
        <v>335</v>
      </c>
      <c r="H53" s="347" t="s">
        <v>336</v>
      </c>
      <c r="I53" s="347" t="s">
        <v>337</v>
      </c>
      <c r="J53" s="347" t="s">
        <v>338</v>
      </c>
      <c r="K53" s="347" t="s">
        <v>339</v>
      </c>
      <c r="L53" s="347" t="s">
        <v>340</v>
      </c>
      <c r="M53" s="347" t="s">
        <v>341</v>
      </c>
      <c r="N53" s="347" t="s">
        <v>235</v>
      </c>
      <c r="O53" s="347" t="s">
        <v>342</v>
      </c>
      <c r="P53" s="347" t="s">
        <v>229</v>
      </c>
      <c r="Q53" s="350"/>
      <c r="S53" s="321"/>
      <c r="T53" s="321"/>
      <c r="U53" s="321"/>
      <c r="V53" s="321"/>
      <c r="W53" s="354" t="s">
        <v>330</v>
      </c>
      <c r="X53" s="347" t="s">
        <v>416</v>
      </c>
      <c r="Y53" s="347" t="s">
        <v>332</v>
      </c>
      <c r="Z53" s="347" t="s">
        <v>333</v>
      </c>
      <c r="AA53" s="347" t="s">
        <v>334</v>
      </c>
      <c r="AB53" s="347" t="s">
        <v>335</v>
      </c>
      <c r="AC53" s="347" t="s">
        <v>336</v>
      </c>
      <c r="AD53" s="347" t="s">
        <v>337</v>
      </c>
      <c r="AE53" s="347" t="s">
        <v>338</v>
      </c>
      <c r="AF53" s="347" t="s">
        <v>339</v>
      </c>
      <c r="AG53" s="347" t="s">
        <v>340</v>
      </c>
      <c r="AH53" s="347" t="s">
        <v>341</v>
      </c>
      <c r="AI53" s="347" t="s">
        <v>235</v>
      </c>
      <c r="AJ53" s="347" t="s">
        <v>342</v>
      </c>
      <c r="AK53" s="347" t="s">
        <v>229</v>
      </c>
      <c r="AL53" s="350"/>
      <c r="AM53" s="158"/>
      <c r="AN53" s="158"/>
      <c r="AO53" s="158"/>
    </row>
    <row r="54">
      <c r="B54" s="345" t="s">
        <v>417</v>
      </c>
      <c r="C54" s="346"/>
      <c r="D54" s="347">
        <v>1.0</v>
      </c>
      <c r="E54" s="348">
        <v>-567.4</v>
      </c>
      <c r="F54" s="348">
        <v>-511.2</v>
      </c>
      <c r="G54" s="349">
        <f t="shared" ref="G54:G59" si="51">F54-E54</f>
        <v>56.2</v>
      </c>
      <c r="H54" s="347">
        <v>-535.0</v>
      </c>
      <c r="I54" s="347">
        <v>535.0</v>
      </c>
      <c r="J54" s="346">
        <f t="shared" ref="J54:J59" si="52">I54-H54</f>
        <v>1070</v>
      </c>
      <c r="K54" s="347">
        <v>399.1</v>
      </c>
      <c r="L54" s="347">
        <v>400.9</v>
      </c>
      <c r="M54" s="346">
        <f t="shared" ref="M54:M59" si="53">L54-K54</f>
        <v>1.8</v>
      </c>
      <c r="N54" s="346">
        <f t="shared" ref="N54:N59" si="54">(G54*J54*M54)/1000000</f>
        <v>0.1082412</v>
      </c>
      <c r="O54" s="347">
        <v>7820.0</v>
      </c>
      <c r="P54" s="346">
        <f t="shared" ref="P54:P59" si="55">N54*O54</f>
        <v>846.446184</v>
      </c>
      <c r="Q54" s="350"/>
      <c r="S54" s="319" t="s">
        <v>418</v>
      </c>
      <c r="T54" s="319" t="s">
        <v>419</v>
      </c>
      <c r="W54" s="345" t="s">
        <v>418</v>
      </c>
      <c r="X54" s="346"/>
      <c r="Y54" s="347">
        <v>1.0</v>
      </c>
      <c r="Z54" s="348">
        <v>-567.4</v>
      </c>
      <c r="AA54" s="348">
        <v>-511.2</v>
      </c>
      <c r="AB54" s="349">
        <f t="shared" ref="AB54:AB59" si="56">AA54-Z54</f>
        <v>56.2</v>
      </c>
      <c r="AC54" s="347">
        <v>399.1</v>
      </c>
      <c r="AD54" s="347">
        <v>400.9</v>
      </c>
      <c r="AE54" s="346">
        <f t="shared" ref="AE54:AE59" si="57">AD54-AC54</f>
        <v>1.8</v>
      </c>
      <c r="AF54" s="347">
        <v>508.4</v>
      </c>
      <c r="AG54" s="347">
        <v>508.4</v>
      </c>
      <c r="AH54" s="346">
        <f t="shared" ref="AH54:AH59" si="58">AG54+AF54</f>
        <v>1016.8</v>
      </c>
      <c r="AI54" s="346">
        <f t="shared" ref="AI54:AI59" si="59">(AB54*AE54*AH54)/1000000</f>
        <v>0.102859488</v>
      </c>
      <c r="AJ54" s="347">
        <v>7820.0</v>
      </c>
      <c r="AK54" s="346">
        <f t="shared" ref="AK54:AK59" si="60">AI54*AJ54</f>
        <v>804.3611962</v>
      </c>
      <c r="AL54" s="350"/>
      <c r="AM54" s="158"/>
      <c r="AN54" s="158"/>
      <c r="AO54" s="158"/>
    </row>
    <row r="55">
      <c r="B55" s="345" t="s">
        <v>420</v>
      </c>
      <c r="C55" s="346"/>
      <c r="D55" s="347">
        <v>2.0</v>
      </c>
      <c r="E55" s="348">
        <v>-567.4</v>
      </c>
      <c r="F55" s="348">
        <v>-511.2</v>
      </c>
      <c r="G55" s="349">
        <f t="shared" si="51"/>
        <v>56.2</v>
      </c>
      <c r="H55" s="347">
        <v>-535.0</v>
      </c>
      <c r="I55" s="347">
        <v>535.0</v>
      </c>
      <c r="J55" s="346">
        <f t="shared" si="52"/>
        <v>1070</v>
      </c>
      <c r="K55" s="347">
        <v>239.1</v>
      </c>
      <c r="L55" s="347">
        <v>240.9</v>
      </c>
      <c r="M55" s="346">
        <f t="shared" si="53"/>
        <v>1.8</v>
      </c>
      <c r="N55" s="346">
        <f t="shared" si="54"/>
        <v>0.1082412</v>
      </c>
      <c r="O55" s="347">
        <v>7820.0</v>
      </c>
      <c r="P55" s="346">
        <f t="shared" si="55"/>
        <v>846.446184</v>
      </c>
      <c r="Q55" s="350"/>
      <c r="S55" s="319" t="s">
        <v>421</v>
      </c>
      <c r="T55" s="319" t="s">
        <v>419</v>
      </c>
      <c r="W55" s="345" t="s">
        <v>421</v>
      </c>
      <c r="X55" s="346"/>
      <c r="Y55" s="347">
        <v>2.0</v>
      </c>
      <c r="Z55" s="348">
        <v>-567.4</v>
      </c>
      <c r="AA55" s="348">
        <v>-511.2</v>
      </c>
      <c r="AB55" s="349">
        <f t="shared" si="56"/>
        <v>56.2</v>
      </c>
      <c r="AC55" s="347">
        <v>239.1</v>
      </c>
      <c r="AD55" s="347">
        <v>240.9</v>
      </c>
      <c r="AE55" s="346">
        <f t="shared" si="57"/>
        <v>1.8</v>
      </c>
      <c r="AF55" s="347">
        <v>508.4</v>
      </c>
      <c r="AG55" s="347">
        <v>508.4</v>
      </c>
      <c r="AH55" s="346">
        <f t="shared" si="58"/>
        <v>1016.8</v>
      </c>
      <c r="AI55" s="346">
        <f t="shared" si="59"/>
        <v>0.102859488</v>
      </c>
      <c r="AJ55" s="347">
        <v>7820.0</v>
      </c>
      <c r="AK55" s="346">
        <f t="shared" si="60"/>
        <v>804.3611962</v>
      </c>
      <c r="AL55" s="350"/>
      <c r="AM55" s="158"/>
      <c r="AN55" s="158"/>
      <c r="AO55" s="158"/>
    </row>
    <row r="56">
      <c r="B56" s="345" t="s">
        <v>422</v>
      </c>
      <c r="C56" s="346"/>
      <c r="D56" s="347">
        <v>3.0</v>
      </c>
      <c r="E56" s="348">
        <v>-567.4</v>
      </c>
      <c r="F56" s="348">
        <v>-511.2</v>
      </c>
      <c r="G56" s="349">
        <f t="shared" si="51"/>
        <v>56.2</v>
      </c>
      <c r="H56" s="347">
        <v>-535.0</v>
      </c>
      <c r="I56" s="347">
        <v>535.0</v>
      </c>
      <c r="J56" s="346">
        <f t="shared" si="52"/>
        <v>1070</v>
      </c>
      <c r="K56" s="347">
        <v>79.1</v>
      </c>
      <c r="L56" s="347">
        <v>80.9</v>
      </c>
      <c r="M56" s="346">
        <f t="shared" si="53"/>
        <v>1.8</v>
      </c>
      <c r="N56" s="346">
        <f t="shared" si="54"/>
        <v>0.1082412</v>
      </c>
      <c r="O56" s="347">
        <v>7820.0</v>
      </c>
      <c r="P56" s="346">
        <f t="shared" si="55"/>
        <v>846.446184</v>
      </c>
      <c r="Q56" s="350"/>
      <c r="S56" s="319" t="s">
        <v>423</v>
      </c>
      <c r="T56" s="319" t="s">
        <v>419</v>
      </c>
      <c r="W56" s="345" t="s">
        <v>423</v>
      </c>
      <c r="X56" s="346"/>
      <c r="Y56" s="347">
        <v>3.0</v>
      </c>
      <c r="Z56" s="348">
        <v>-567.4</v>
      </c>
      <c r="AA56" s="348">
        <v>-511.2</v>
      </c>
      <c r="AB56" s="349">
        <f t="shared" si="56"/>
        <v>56.2</v>
      </c>
      <c r="AC56" s="347">
        <v>79.1</v>
      </c>
      <c r="AD56" s="347">
        <v>80.9</v>
      </c>
      <c r="AE56" s="346">
        <f t="shared" si="57"/>
        <v>1.8</v>
      </c>
      <c r="AF56" s="347">
        <v>508.4</v>
      </c>
      <c r="AG56" s="347">
        <v>508.4</v>
      </c>
      <c r="AH56" s="346">
        <f t="shared" si="58"/>
        <v>1016.8</v>
      </c>
      <c r="AI56" s="346">
        <f t="shared" si="59"/>
        <v>0.102859488</v>
      </c>
      <c r="AJ56" s="347">
        <v>7820.0</v>
      </c>
      <c r="AK56" s="346">
        <f t="shared" si="60"/>
        <v>804.3611962</v>
      </c>
      <c r="AL56" s="350"/>
      <c r="AM56" s="158"/>
      <c r="AN56" s="158"/>
      <c r="AO56" s="158"/>
    </row>
    <row r="57">
      <c r="B57" s="345" t="s">
        <v>424</v>
      </c>
      <c r="C57" s="346"/>
      <c r="D57" s="347">
        <v>4.0</v>
      </c>
      <c r="E57" s="348">
        <v>-567.4</v>
      </c>
      <c r="F57" s="348">
        <v>-511.2</v>
      </c>
      <c r="G57" s="349">
        <f t="shared" si="51"/>
        <v>56.2</v>
      </c>
      <c r="H57" s="347">
        <v>-535.0</v>
      </c>
      <c r="I57" s="347">
        <v>535.0</v>
      </c>
      <c r="J57" s="346">
        <f t="shared" si="52"/>
        <v>1070</v>
      </c>
      <c r="K57" s="347">
        <v>-80.9</v>
      </c>
      <c r="L57" s="347">
        <v>-79.1</v>
      </c>
      <c r="M57" s="346">
        <f t="shared" si="53"/>
        <v>1.8</v>
      </c>
      <c r="N57" s="346">
        <f t="shared" si="54"/>
        <v>0.1082412</v>
      </c>
      <c r="O57" s="347">
        <v>7820.0</v>
      </c>
      <c r="P57" s="346">
        <f t="shared" si="55"/>
        <v>846.446184</v>
      </c>
      <c r="Q57" s="350"/>
      <c r="S57" s="319" t="s">
        <v>425</v>
      </c>
      <c r="T57" s="319" t="s">
        <v>419</v>
      </c>
      <c r="W57" s="345" t="s">
        <v>425</v>
      </c>
      <c r="X57" s="346"/>
      <c r="Y57" s="347">
        <v>4.0</v>
      </c>
      <c r="Z57" s="348">
        <v>-567.4</v>
      </c>
      <c r="AA57" s="348">
        <v>-511.2</v>
      </c>
      <c r="AB57" s="349">
        <f t="shared" si="56"/>
        <v>56.2</v>
      </c>
      <c r="AC57" s="347">
        <v>-80.9</v>
      </c>
      <c r="AD57" s="347">
        <v>-79.1</v>
      </c>
      <c r="AE57" s="346">
        <f t="shared" si="57"/>
        <v>1.8</v>
      </c>
      <c r="AF57" s="347">
        <v>508.4</v>
      </c>
      <c r="AG57" s="347">
        <v>508.4</v>
      </c>
      <c r="AH57" s="346">
        <f t="shared" si="58"/>
        <v>1016.8</v>
      </c>
      <c r="AI57" s="346">
        <f t="shared" si="59"/>
        <v>0.102859488</v>
      </c>
      <c r="AJ57" s="347">
        <v>7820.0</v>
      </c>
      <c r="AK57" s="346">
        <f t="shared" si="60"/>
        <v>804.3611962</v>
      </c>
      <c r="AL57" s="350"/>
      <c r="AM57" s="158"/>
      <c r="AN57" s="158"/>
      <c r="AO57" s="158"/>
    </row>
    <row r="58">
      <c r="B58" s="345" t="s">
        <v>426</v>
      </c>
      <c r="C58" s="346"/>
      <c r="D58" s="347">
        <v>5.0</v>
      </c>
      <c r="E58" s="348">
        <v>-567.4</v>
      </c>
      <c r="F58" s="348">
        <v>-511.2</v>
      </c>
      <c r="G58" s="349">
        <f t="shared" si="51"/>
        <v>56.2</v>
      </c>
      <c r="H58" s="347">
        <v>-535.0</v>
      </c>
      <c r="I58" s="347">
        <v>535.0</v>
      </c>
      <c r="J58" s="346">
        <f t="shared" si="52"/>
        <v>1070</v>
      </c>
      <c r="K58" s="347">
        <v>-240.9</v>
      </c>
      <c r="L58" s="347">
        <v>-239.1</v>
      </c>
      <c r="M58" s="346">
        <f t="shared" si="53"/>
        <v>1.8</v>
      </c>
      <c r="N58" s="346">
        <f t="shared" si="54"/>
        <v>0.1082412</v>
      </c>
      <c r="O58" s="347">
        <v>7820.0</v>
      </c>
      <c r="P58" s="346">
        <f t="shared" si="55"/>
        <v>846.446184</v>
      </c>
      <c r="Q58" s="350"/>
      <c r="S58" s="319" t="s">
        <v>427</v>
      </c>
      <c r="T58" s="319" t="s">
        <v>419</v>
      </c>
      <c r="W58" s="345" t="s">
        <v>427</v>
      </c>
      <c r="X58" s="346"/>
      <c r="Y58" s="347">
        <v>5.0</v>
      </c>
      <c r="Z58" s="348">
        <v>-567.4</v>
      </c>
      <c r="AA58" s="348">
        <v>-511.2</v>
      </c>
      <c r="AB58" s="349">
        <f t="shared" si="56"/>
        <v>56.2</v>
      </c>
      <c r="AC58" s="347">
        <v>-240.9</v>
      </c>
      <c r="AD58" s="347">
        <v>-239.1</v>
      </c>
      <c r="AE58" s="346">
        <f t="shared" si="57"/>
        <v>1.8</v>
      </c>
      <c r="AF58" s="347">
        <v>508.4</v>
      </c>
      <c r="AG58" s="347">
        <v>508.4</v>
      </c>
      <c r="AH58" s="346">
        <f t="shared" si="58"/>
        <v>1016.8</v>
      </c>
      <c r="AI58" s="346">
        <f t="shared" si="59"/>
        <v>0.102859488</v>
      </c>
      <c r="AJ58" s="347">
        <v>7820.0</v>
      </c>
      <c r="AK58" s="346">
        <f t="shared" si="60"/>
        <v>804.3611962</v>
      </c>
      <c r="AL58" s="350"/>
      <c r="AM58" s="158"/>
      <c r="AN58" s="158"/>
      <c r="AO58" s="158"/>
    </row>
    <row r="59">
      <c r="B59" s="345" t="s">
        <v>428</v>
      </c>
      <c r="C59" s="346"/>
      <c r="D59" s="347">
        <v>6.0</v>
      </c>
      <c r="E59" s="348">
        <v>-567.4</v>
      </c>
      <c r="F59" s="348">
        <v>-511.2</v>
      </c>
      <c r="G59" s="349">
        <f t="shared" si="51"/>
        <v>56.2</v>
      </c>
      <c r="H59" s="347">
        <v>-535.0</v>
      </c>
      <c r="I59" s="347">
        <v>535.0</v>
      </c>
      <c r="J59" s="346">
        <f t="shared" si="52"/>
        <v>1070</v>
      </c>
      <c r="K59" s="347">
        <v>-400.9</v>
      </c>
      <c r="L59" s="347">
        <v>-399.1</v>
      </c>
      <c r="M59" s="346">
        <f t="shared" si="53"/>
        <v>1.8</v>
      </c>
      <c r="N59" s="346">
        <f t="shared" si="54"/>
        <v>0.1082412</v>
      </c>
      <c r="O59" s="347">
        <v>7820.0</v>
      </c>
      <c r="P59" s="346">
        <f t="shared" si="55"/>
        <v>846.446184</v>
      </c>
      <c r="Q59" s="350"/>
      <c r="S59" s="319" t="s">
        <v>429</v>
      </c>
      <c r="T59" s="319" t="s">
        <v>419</v>
      </c>
      <c r="W59" s="345" t="s">
        <v>429</v>
      </c>
      <c r="X59" s="346"/>
      <c r="Y59" s="347">
        <v>6.0</v>
      </c>
      <c r="Z59" s="348">
        <v>-567.4</v>
      </c>
      <c r="AA59" s="348">
        <v>-511.2</v>
      </c>
      <c r="AB59" s="349">
        <f t="shared" si="56"/>
        <v>56.2</v>
      </c>
      <c r="AC59" s="347">
        <v>-400.9</v>
      </c>
      <c r="AD59" s="347">
        <v>-399.1</v>
      </c>
      <c r="AE59" s="346">
        <f t="shared" si="57"/>
        <v>1.8</v>
      </c>
      <c r="AF59" s="347">
        <v>508.4</v>
      </c>
      <c r="AG59" s="347">
        <v>508.4</v>
      </c>
      <c r="AH59" s="346">
        <f t="shared" si="58"/>
        <v>1016.8</v>
      </c>
      <c r="AI59" s="346">
        <f t="shared" si="59"/>
        <v>0.102859488</v>
      </c>
      <c r="AJ59" s="347">
        <v>7820.0</v>
      </c>
      <c r="AK59" s="346">
        <f t="shared" si="60"/>
        <v>804.3611962</v>
      </c>
      <c r="AL59" s="350"/>
      <c r="AM59" s="158"/>
      <c r="AN59" s="158"/>
      <c r="AO59" s="158"/>
    </row>
    <row r="60">
      <c r="B60" s="352"/>
      <c r="C60" s="346"/>
      <c r="D60" s="347" t="s">
        <v>294</v>
      </c>
      <c r="E60" s="346"/>
      <c r="F60" s="346"/>
      <c r="G60" s="346"/>
      <c r="H60" s="346"/>
      <c r="I60" s="346"/>
      <c r="J60" s="346"/>
      <c r="K60" s="346"/>
      <c r="L60" s="346"/>
      <c r="M60" s="346"/>
      <c r="N60" s="346">
        <f>SUM(N54:N59)</f>
        <v>0.6494472</v>
      </c>
      <c r="O60" s="346"/>
      <c r="P60" s="346">
        <f>SUM(P54:P59)</f>
        <v>5078.677104</v>
      </c>
      <c r="Q60" s="350"/>
      <c r="S60" s="321"/>
      <c r="T60" s="321"/>
      <c r="U60" s="321"/>
      <c r="V60" s="321"/>
      <c r="W60" s="352"/>
      <c r="X60" s="346"/>
      <c r="Y60" s="347" t="s">
        <v>294</v>
      </c>
      <c r="Z60" s="346"/>
      <c r="AA60" s="346"/>
      <c r="AB60" s="346"/>
      <c r="AC60" s="346"/>
      <c r="AD60" s="346"/>
      <c r="AE60" s="346"/>
      <c r="AF60" s="346"/>
      <c r="AG60" s="346"/>
      <c r="AH60" s="346"/>
      <c r="AI60" s="346">
        <f>SUM(AI54:AI59)</f>
        <v>0.617156928</v>
      </c>
      <c r="AJ60" s="346"/>
      <c r="AK60" s="346">
        <f>SUM(AK54:AK59)</f>
        <v>4826.167177</v>
      </c>
      <c r="AL60" s="350"/>
      <c r="AM60" s="158">
        <f>AI60+N60</f>
        <v>1.266604128</v>
      </c>
      <c r="AN60" s="158"/>
      <c r="AO60" s="158"/>
    </row>
    <row r="61">
      <c r="B61" s="355"/>
      <c r="C61" s="356"/>
      <c r="D61" s="356"/>
      <c r="E61" s="356"/>
      <c r="F61" s="356"/>
      <c r="G61" s="356"/>
      <c r="H61" s="356"/>
      <c r="I61" s="356"/>
      <c r="J61" s="356"/>
      <c r="K61" s="356"/>
      <c r="L61" s="356"/>
      <c r="M61" s="356"/>
      <c r="N61" s="356"/>
      <c r="O61" s="356"/>
      <c r="P61" s="356">
        <f>P60/1000</f>
        <v>5.078677104</v>
      </c>
      <c r="Q61" s="357" t="s">
        <v>371</v>
      </c>
      <c r="S61" s="321"/>
      <c r="T61" s="321"/>
      <c r="U61" s="321"/>
      <c r="V61" s="321"/>
      <c r="W61" s="355"/>
      <c r="X61" s="356"/>
      <c r="Y61" s="356"/>
      <c r="Z61" s="356"/>
      <c r="AA61" s="356"/>
      <c r="AB61" s="356"/>
      <c r="AC61" s="356"/>
      <c r="AD61" s="356"/>
      <c r="AE61" s="356"/>
      <c r="AF61" s="356"/>
      <c r="AG61" s="356"/>
      <c r="AH61" s="356"/>
      <c r="AI61" s="356"/>
      <c r="AJ61" s="356"/>
      <c r="AK61" s="356">
        <f>AK60/1000</f>
        <v>4.826167177</v>
      </c>
      <c r="AL61" s="357" t="s">
        <v>371</v>
      </c>
      <c r="AM61" s="307"/>
      <c r="AN61" s="307"/>
      <c r="AO61" s="307"/>
    </row>
    <row r="62">
      <c r="AM62" s="158"/>
      <c r="AN62" s="158"/>
      <c r="AO62" s="158"/>
    </row>
    <row r="63">
      <c r="AM63" s="158"/>
      <c r="AN63" s="158"/>
      <c r="AO63" s="158"/>
    </row>
    <row r="64">
      <c r="A64" s="358"/>
      <c r="B64" s="359"/>
      <c r="C64" s="359"/>
      <c r="D64" s="359"/>
      <c r="E64" s="359"/>
      <c r="F64" s="359"/>
      <c r="G64" s="359"/>
      <c r="H64" s="359"/>
      <c r="I64" s="359"/>
      <c r="J64" s="359"/>
      <c r="K64" s="359"/>
      <c r="L64" s="359"/>
      <c r="M64" s="359"/>
      <c r="N64" s="359"/>
      <c r="O64" s="359"/>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158"/>
      <c r="AN64" s="158"/>
      <c r="AO64" s="158"/>
    </row>
    <row r="65">
      <c r="A65" s="360"/>
      <c r="B65" s="361"/>
      <c r="C65" s="361"/>
      <c r="D65" s="361"/>
      <c r="E65" s="361"/>
      <c r="F65" s="361"/>
      <c r="G65" s="361"/>
      <c r="H65" s="361"/>
      <c r="I65" s="361"/>
      <c r="J65" s="361"/>
      <c r="K65" s="361"/>
      <c r="L65" s="361"/>
      <c r="M65" s="361"/>
      <c r="N65" s="361"/>
      <c r="O65" s="361"/>
      <c r="P65" s="361"/>
      <c r="Q65" s="361"/>
      <c r="R65" s="361"/>
      <c r="S65" s="361"/>
      <c r="T65" s="361"/>
      <c r="U65" s="361"/>
      <c r="V65" s="361"/>
      <c r="W65" s="361"/>
      <c r="X65" s="361"/>
      <c r="Y65" s="361"/>
      <c r="Z65" s="361"/>
      <c r="AA65" s="361"/>
      <c r="AB65" s="361"/>
      <c r="AC65" s="361"/>
      <c r="AD65" s="361"/>
      <c r="AE65" s="361"/>
      <c r="AF65" s="361"/>
      <c r="AG65" s="361"/>
      <c r="AH65" s="361"/>
      <c r="AI65" s="361"/>
      <c r="AJ65" s="361"/>
      <c r="AK65" s="361"/>
      <c r="AL65" s="361"/>
      <c r="AM65" s="158"/>
      <c r="AN65" s="158"/>
      <c r="AO65" s="158"/>
    </row>
    <row r="66">
      <c r="AM66" s="158"/>
      <c r="AN66" s="158"/>
      <c r="AO66" s="158"/>
    </row>
    <row r="67">
      <c r="AM67" s="158"/>
      <c r="AN67" s="158"/>
      <c r="AO67" s="158"/>
    </row>
    <row r="68">
      <c r="B68" s="308" t="s">
        <v>330</v>
      </c>
      <c r="C68" s="309" t="s">
        <v>331</v>
      </c>
      <c r="D68" s="309" t="s">
        <v>430</v>
      </c>
      <c r="E68" s="309" t="s">
        <v>333</v>
      </c>
      <c r="F68" s="309" t="s">
        <v>334</v>
      </c>
      <c r="G68" s="309" t="s">
        <v>335</v>
      </c>
      <c r="H68" s="309" t="s">
        <v>336</v>
      </c>
      <c r="I68" s="309" t="s">
        <v>337</v>
      </c>
      <c r="J68" s="309" t="s">
        <v>338</v>
      </c>
      <c r="K68" s="309" t="s">
        <v>339</v>
      </c>
      <c r="L68" s="309" t="s">
        <v>340</v>
      </c>
      <c r="M68" s="309" t="s">
        <v>341</v>
      </c>
      <c r="N68" s="309" t="s">
        <v>235</v>
      </c>
      <c r="O68" s="309" t="s">
        <v>342</v>
      </c>
      <c r="P68" s="309" t="s">
        <v>229</v>
      </c>
      <c r="Q68" s="310"/>
      <c r="R68" s="311" t="s">
        <v>240</v>
      </c>
      <c r="W68" s="308" t="s">
        <v>330</v>
      </c>
      <c r="X68" s="309" t="s">
        <v>331</v>
      </c>
      <c r="Y68" s="362" t="s">
        <v>431</v>
      </c>
      <c r="Z68" s="309" t="s">
        <v>333</v>
      </c>
      <c r="AA68" s="309" t="s">
        <v>334</v>
      </c>
      <c r="AB68" s="309" t="s">
        <v>335</v>
      </c>
      <c r="AC68" s="309" t="s">
        <v>336</v>
      </c>
      <c r="AD68" s="309" t="s">
        <v>337</v>
      </c>
      <c r="AE68" s="309" t="s">
        <v>338</v>
      </c>
      <c r="AF68" s="309" t="s">
        <v>339</v>
      </c>
      <c r="AG68" s="309" t="s">
        <v>340</v>
      </c>
      <c r="AH68" s="309" t="s">
        <v>341</v>
      </c>
      <c r="AI68" s="309" t="s">
        <v>235</v>
      </c>
      <c r="AJ68" s="309" t="s">
        <v>342</v>
      </c>
      <c r="AK68" s="309" t="s">
        <v>229</v>
      </c>
      <c r="AL68" s="310"/>
      <c r="AM68" s="158"/>
      <c r="AN68" s="158"/>
      <c r="AO68" s="158"/>
    </row>
    <row r="69">
      <c r="B69" s="312" t="s">
        <v>432</v>
      </c>
      <c r="C69" s="313"/>
      <c r="D69" s="314">
        <v>1.0</v>
      </c>
      <c r="E69" s="314">
        <v>570.2</v>
      </c>
      <c r="F69" s="314">
        <v>570.2</v>
      </c>
      <c r="G69" s="315">
        <f t="shared" ref="G69:G74" si="61">SUM(E69:F69)</f>
        <v>1140.4</v>
      </c>
      <c r="H69" s="316">
        <v>411.4</v>
      </c>
      <c r="I69" s="316">
        <v>388.6</v>
      </c>
      <c r="J69" s="313">
        <f>H69-I69</f>
        <v>22.8</v>
      </c>
      <c r="K69" s="316">
        <v>567.4</v>
      </c>
      <c r="L69" s="316">
        <v>570.2</v>
      </c>
      <c r="M69" s="313">
        <f t="shared" ref="M69:M74" si="62">L69-K69</f>
        <v>2.8</v>
      </c>
      <c r="N69" s="313">
        <f t="shared" ref="N69:N74" si="63">(G69*J69*M69)/1000000</f>
        <v>0.072803136</v>
      </c>
      <c r="O69" s="316">
        <v>7820.0</v>
      </c>
      <c r="P69" s="313">
        <f t="shared" ref="P69:P74" si="64">N69*O69</f>
        <v>569.3205235</v>
      </c>
      <c r="Q69" s="317"/>
      <c r="R69" s="318">
        <f>SUM(P76,P86,P96,P106,P116,P126,AK76,AK86,AK96,AK106,AK116,AK126)</f>
        <v>40.08034743</v>
      </c>
      <c r="S69" s="319" t="s">
        <v>432</v>
      </c>
      <c r="T69" s="319" t="s">
        <v>433</v>
      </c>
      <c r="W69" s="312" t="s">
        <v>434</v>
      </c>
      <c r="X69" s="313"/>
      <c r="Y69" s="314">
        <v>1.0</v>
      </c>
      <c r="Z69" s="314">
        <v>-411.4</v>
      </c>
      <c r="AA69" s="314">
        <v>-388.6</v>
      </c>
      <c r="AB69" s="315">
        <f t="shared" ref="AB69:AB74" si="65">AA69-Z69</f>
        <v>22.8</v>
      </c>
      <c r="AC69" s="316">
        <v>535.0</v>
      </c>
      <c r="AD69" s="316">
        <v>535.0</v>
      </c>
      <c r="AE69" s="313">
        <f t="shared" ref="AE69:AE74" si="66">AD69+AC69</f>
        <v>1070</v>
      </c>
      <c r="AF69" s="316">
        <v>570.2</v>
      </c>
      <c r="AG69" s="316">
        <v>567.4</v>
      </c>
      <c r="AH69" s="313">
        <f t="shared" ref="AH69:AH74" si="67">AF69-AG69</f>
        <v>2.8</v>
      </c>
      <c r="AI69" s="313">
        <f t="shared" ref="AI69:AI74" si="68">(AB69*AE69*AH69)/1000000</f>
        <v>0.0683088</v>
      </c>
      <c r="AJ69" s="316">
        <v>7820.0</v>
      </c>
      <c r="AK69" s="313">
        <f t="shared" ref="AK69:AK74" si="69">AI69*AJ69</f>
        <v>534.174816</v>
      </c>
      <c r="AL69" s="317"/>
      <c r="AM69" s="158"/>
      <c r="AN69" s="158"/>
      <c r="AO69" s="158"/>
    </row>
    <row r="70">
      <c r="B70" s="312" t="s">
        <v>435</v>
      </c>
      <c r="C70" s="313"/>
      <c r="D70" s="314">
        <v>2.0</v>
      </c>
      <c r="E70" s="314">
        <v>570.2</v>
      </c>
      <c r="F70" s="314">
        <v>570.2</v>
      </c>
      <c r="G70" s="315">
        <f t="shared" si="61"/>
        <v>1140.4</v>
      </c>
      <c r="H70" s="316">
        <v>228.6</v>
      </c>
      <c r="I70" s="316">
        <v>251.4</v>
      </c>
      <c r="J70" s="313">
        <f t="shared" ref="J70:J74" si="70">I70-H70</f>
        <v>22.8</v>
      </c>
      <c r="K70" s="316">
        <v>567.4</v>
      </c>
      <c r="L70" s="316">
        <v>570.2</v>
      </c>
      <c r="M70" s="313">
        <f t="shared" si="62"/>
        <v>2.8</v>
      </c>
      <c r="N70" s="313">
        <f t="shared" si="63"/>
        <v>0.072803136</v>
      </c>
      <c r="O70" s="316">
        <v>7820.0</v>
      </c>
      <c r="P70" s="313">
        <f t="shared" si="64"/>
        <v>569.3205235</v>
      </c>
      <c r="Q70" s="317"/>
      <c r="S70" s="319" t="s">
        <v>435</v>
      </c>
      <c r="T70" s="319" t="s">
        <v>433</v>
      </c>
      <c r="W70" s="362" t="s">
        <v>436</v>
      </c>
      <c r="X70" s="313"/>
      <c r="Y70" s="314">
        <v>2.0</v>
      </c>
      <c r="Z70" s="314">
        <v>-251.4</v>
      </c>
      <c r="AA70" s="314">
        <v>-228.6</v>
      </c>
      <c r="AB70" s="315">
        <f t="shared" si="65"/>
        <v>22.8</v>
      </c>
      <c r="AC70" s="316">
        <v>535.0</v>
      </c>
      <c r="AD70" s="316">
        <v>535.0</v>
      </c>
      <c r="AE70" s="313">
        <f t="shared" si="66"/>
        <v>1070</v>
      </c>
      <c r="AF70" s="316">
        <v>570.2</v>
      </c>
      <c r="AG70" s="316">
        <v>567.4</v>
      </c>
      <c r="AH70" s="313">
        <f t="shared" si="67"/>
        <v>2.8</v>
      </c>
      <c r="AI70" s="313">
        <f t="shared" si="68"/>
        <v>0.0683088</v>
      </c>
      <c r="AJ70" s="316">
        <v>7820.0</v>
      </c>
      <c r="AK70" s="313">
        <f t="shared" si="69"/>
        <v>534.174816</v>
      </c>
      <c r="AL70" s="317"/>
      <c r="AM70" s="158"/>
      <c r="AN70" s="158"/>
      <c r="AO70" s="158"/>
    </row>
    <row r="71">
      <c r="B71" s="312" t="s">
        <v>437</v>
      </c>
      <c r="C71" s="313"/>
      <c r="D71" s="314">
        <v>3.0</v>
      </c>
      <c r="E71" s="314">
        <v>570.2</v>
      </c>
      <c r="F71" s="314">
        <v>570.2</v>
      </c>
      <c r="G71" s="315">
        <f t="shared" si="61"/>
        <v>1140.4</v>
      </c>
      <c r="H71" s="316">
        <v>68.6</v>
      </c>
      <c r="I71" s="316">
        <v>91.4</v>
      </c>
      <c r="J71" s="313">
        <f t="shared" si="70"/>
        <v>22.8</v>
      </c>
      <c r="K71" s="316">
        <v>567.4</v>
      </c>
      <c r="L71" s="316">
        <v>570.2</v>
      </c>
      <c r="M71" s="313">
        <f t="shared" si="62"/>
        <v>2.8</v>
      </c>
      <c r="N71" s="313">
        <f t="shared" si="63"/>
        <v>0.072803136</v>
      </c>
      <c r="O71" s="316">
        <v>7820.0</v>
      </c>
      <c r="P71" s="313">
        <f t="shared" si="64"/>
        <v>569.3205235</v>
      </c>
      <c r="Q71" s="317"/>
      <c r="S71" s="319" t="s">
        <v>437</v>
      </c>
      <c r="T71" s="319" t="s">
        <v>433</v>
      </c>
      <c r="W71" s="362" t="s">
        <v>438</v>
      </c>
      <c r="X71" s="313"/>
      <c r="Y71" s="314">
        <v>3.0</v>
      </c>
      <c r="Z71" s="314">
        <v>-91.4</v>
      </c>
      <c r="AA71" s="314">
        <v>-68.6</v>
      </c>
      <c r="AB71" s="315">
        <f t="shared" si="65"/>
        <v>22.8</v>
      </c>
      <c r="AC71" s="316">
        <v>535.0</v>
      </c>
      <c r="AD71" s="316">
        <v>535.0</v>
      </c>
      <c r="AE71" s="313">
        <f t="shared" si="66"/>
        <v>1070</v>
      </c>
      <c r="AF71" s="316">
        <v>570.2</v>
      </c>
      <c r="AG71" s="316">
        <v>567.4</v>
      </c>
      <c r="AH71" s="313">
        <f t="shared" si="67"/>
        <v>2.8</v>
      </c>
      <c r="AI71" s="313">
        <f t="shared" si="68"/>
        <v>0.0683088</v>
      </c>
      <c r="AJ71" s="316">
        <v>7820.0</v>
      </c>
      <c r="AK71" s="313">
        <f t="shared" si="69"/>
        <v>534.174816</v>
      </c>
      <c r="AL71" s="317"/>
      <c r="AM71" s="158"/>
      <c r="AN71" s="158"/>
      <c r="AO71" s="158"/>
    </row>
    <row r="72">
      <c r="B72" s="312" t="s">
        <v>439</v>
      </c>
      <c r="C72" s="313"/>
      <c r="D72" s="314">
        <v>4.0</v>
      </c>
      <c r="E72" s="314">
        <v>570.2</v>
      </c>
      <c r="F72" s="314">
        <v>570.2</v>
      </c>
      <c r="G72" s="315">
        <f t="shared" si="61"/>
        <v>1140.4</v>
      </c>
      <c r="H72" s="316">
        <v>-91.4</v>
      </c>
      <c r="I72" s="316">
        <v>-68.6</v>
      </c>
      <c r="J72" s="313">
        <f t="shared" si="70"/>
        <v>22.8</v>
      </c>
      <c r="K72" s="316">
        <v>567.4</v>
      </c>
      <c r="L72" s="316">
        <v>570.2</v>
      </c>
      <c r="M72" s="313">
        <f t="shared" si="62"/>
        <v>2.8</v>
      </c>
      <c r="N72" s="313">
        <f t="shared" si="63"/>
        <v>0.072803136</v>
      </c>
      <c r="O72" s="316">
        <v>7820.0</v>
      </c>
      <c r="P72" s="313">
        <f t="shared" si="64"/>
        <v>569.3205235</v>
      </c>
      <c r="Q72" s="317"/>
      <c r="S72" s="319" t="s">
        <v>439</v>
      </c>
      <c r="T72" s="319" t="s">
        <v>433</v>
      </c>
      <c r="W72" s="312" t="s">
        <v>440</v>
      </c>
      <c r="X72" s="313"/>
      <c r="Y72" s="314">
        <v>4.0</v>
      </c>
      <c r="Z72" s="314">
        <v>68.6</v>
      </c>
      <c r="AA72" s="314">
        <v>91.4</v>
      </c>
      <c r="AB72" s="315">
        <f t="shared" si="65"/>
        <v>22.8</v>
      </c>
      <c r="AC72" s="316">
        <v>535.0</v>
      </c>
      <c r="AD72" s="316">
        <v>535.0</v>
      </c>
      <c r="AE72" s="313">
        <f t="shared" si="66"/>
        <v>1070</v>
      </c>
      <c r="AF72" s="316">
        <v>570.2</v>
      </c>
      <c r="AG72" s="316">
        <v>567.4</v>
      </c>
      <c r="AH72" s="313">
        <f t="shared" si="67"/>
        <v>2.8</v>
      </c>
      <c r="AI72" s="313">
        <f t="shared" si="68"/>
        <v>0.0683088</v>
      </c>
      <c r="AJ72" s="316">
        <v>7820.0</v>
      </c>
      <c r="AK72" s="313">
        <f t="shared" si="69"/>
        <v>534.174816</v>
      </c>
      <c r="AL72" s="317"/>
      <c r="AM72" s="158"/>
      <c r="AN72" s="158"/>
      <c r="AO72" s="158"/>
    </row>
    <row r="73">
      <c r="B73" s="312" t="s">
        <v>441</v>
      </c>
      <c r="C73" s="313"/>
      <c r="D73" s="314">
        <v>5.0</v>
      </c>
      <c r="E73" s="314">
        <v>570.2</v>
      </c>
      <c r="F73" s="314">
        <v>570.2</v>
      </c>
      <c r="G73" s="315">
        <f t="shared" si="61"/>
        <v>1140.4</v>
      </c>
      <c r="H73" s="316">
        <v>-251.4</v>
      </c>
      <c r="I73" s="316">
        <v>-228.6</v>
      </c>
      <c r="J73" s="313">
        <f t="shared" si="70"/>
        <v>22.8</v>
      </c>
      <c r="K73" s="316">
        <v>567.4</v>
      </c>
      <c r="L73" s="316">
        <v>570.2</v>
      </c>
      <c r="M73" s="313">
        <f t="shared" si="62"/>
        <v>2.8</v>
      </c>
      <c r="N73" s="313">
        <f t="shared" si="63"/>
        <v>0.072803136</v>
      </c>
      <c r="O73" s="316">
        <v>7820.0</v>
      </c>
      <c r="P73" s="313">
        <f t="shared" si="64"/>
        <v>569.3205235</v>
      </c>
      <c r="Q73" s="317"/>
      <c r="S73" s="319" t="s">
        <v>441</v>
      </c>
      <c r="T73" s="319" t="s">
        <v>433</v>
      </c>
      <c r="W73" s="312" t="s">
        <v>442</v>
      </c>
      <c r="X73" s="313"/>
      <c r="Y73" s="314">
        <v>5.0</v>
      </c>
      <c r="Z73" s="314">
        <v>228.6</v>
      </c>
      <c r="AA73" s="314">
        <v>251.4</v>
      </c>
      <c r="AB73" s="315">
        <f t="shared" si="65"/>
        <v>22.8</v>
      </c>
      <c r="AC73" s="316">
        <v>535.0</v>
      </c>
      <c r="AD73" s="316">
        <v>535.0</v>
      </c>
      <c r="AE73" s="313">
        <f t="shared" si="66"/>
        <v>1070</v>
      </c>
      <c r="AF73" s="316">
        <v>570.2</v>
      </c>
      <c r="AG73" s="316">
        <v>567.4</v>
      </c>
      <c r="AH73" s="313">
        <f t="shared" si="67"/>
        <v>2.8</v>
      </c>
      <c r="AI73" s="313">
        <f t="shared" si="68"/>
        <v>0.0683088</v>
      </c>
      <c r="AJ73" s="316">
        <v>7820.0</v>
      </c>
      <c r="AK73" s="313">
        <f t="shared" si="69"/>
        <v>534.174816</v>
      </c>
      <c r="AL73" s="317"/>
      <c r="AM73" s="158"/>
      <c r="AN73" s="158"/>
      <c r="AO73" s="158"/>
    </row>
    <row r="74">
      <c r="B74" s="312" t="s">
        <v>443</v>
      </c>
      <c r="C74" s="313"/>
      <c r="D74" s="314">
        <v>6.0</v>
      </c>
      <c r="E74" s="314">
        <v>570.2</v>
      </c>
      <c r="F74" s="314">
        <v>570.2</v>
      </c>
      <c r="G74" s="315">
        <f t="shared" si="61"/>
        <v>1140.4</v>
      </c>
      <c r="H74" s="316">
        <v>-411.4</v>
      </c>
      <c r="I74" s="316">
        <v>-388.6</v>
      </c>
      <c r="J74" s="313">
        <f t="shared" si="70"/>
        <v>22.8</v>
      </c>
      <c r="K74" s="316">
        <v>567.4</v>
      </c>
      <c r="L74" s="316">
        <v>570.2</v>
      </c>
      <c r="M74" s="313">
        <f t="shared" si="62"/>
        <v>2.8</v>
      </c>
      <c r="N74" s="313">
        <f t="shared" si="63"/>
        <v>0.072803136</v>
      </c>
      <c r="O74" s="316">
        <v>7820.0</v>
      </c>
      <c r="P74" s="313">
        <f t="shared" si="64"/>
        <v>569.3205235</v>
      </c>
      <c r="Q74" s="317"/>
      <c r="S74" s="319" t="s">
        <v>443</v>
      </c>
      <c r="T74" s="319" t="s">
        <v>433</v>
      </c>
      <c r="W74" s="312" t="s">
        <v>444</v>
      </c>
      <c r="X74" s="313"/>
      <c r="Y74" s="314">
        <v>6.0</v>
      </c>
      <c r="Z74" s="314">
        <v>388.6</v>
      </c>
      <c r="AA74" s="314">
        <v>411.4</v>
      </c>
      <c r="AB74" s="315">
        <f t="shared" si="65"/>
        <v>22.8</v>
      </c>
      <c r="AC74" s="316">
        <v>535.0</v>
      </c>
      <c r="AD74" s="316">
        <v>535.0</v>
      </c>
      <c r="AE74" s="313">
        <f t="shared" si="66"/>
        <v>1070</v>
      </c>
      <c r="AF74" s="316">
        <v>570.2</v>
      </c>
      <c r="AG74" s="316">
        <v>567.4</v>
      </c>
      <c r="AH74" s="313">
        <f t="shared" si="67"/>
        <v>2.8</v>
      </c>
      <c r="AI74" s="313">
        <f t="shared" si="68"/>
        <v>0.0683088</v>
      </c>
      <c r="AJ74" s="316">
        <v>7820.0</v>
      </c>
      <c r="AK74" s="313">
        <f t="shared" si="69"/>
        <v>534.174816</v>
      </c>
      <c r="AL74" s="317"/>
      <c r="AM74" s="158"/>
      <c r="AN74" s="158"/>
      <c r="AO74" s="158"/>
    </row>
    <row r="75">
      <c r="B75" s="320"/>
      <c r="C75" s="313"/>
      <c r="D75" s="316" t="s">
        <v>294</v>
      </c>
      <c r="E75" s="313"/>
      <c r="F75" s="313"/>
      <c r="G75" s="313"/>
      <c r="H75" s="313"/>
      <c r="I75" s="313"/>
      <c r="J75" s="313"/>
      <c r="K75" s="313"/>
      <c r="L75" s="313"/>
      <c r="M75" s="313"/>
      <c r="N75" s="313">
        <f>SUM(N69:N74)</f>
        <v>0.436818816</v>
      </c>
      <c r="O75" s="313"/>
      <c r="P75" s="313">
        <f>SUM(P69:P74)</f>
        <v>3415.923141</v>
      </c>
      <c r="Q75" s="317"/>
      <c r="S75" s="321"/>
      <c r="T75" s="321"/>
      <c r="U75" s="321"/>
      <c r="V75" s="321"/>
      <c r="W75" s="320"/>
      <c r="X75" s="313"/>
      <c r="Y75" s="316" t="s">
        <v>294</v>
      </c>
      <c r="Z75" s="313"/>
      <c r="AA75" s="313"/>
      <c r="AB75" s="313"/>
      <c r="AC75" s="313"/>
      <c r="AD75" s="313"/>
      <c r="AE75" s="313"/>
      <c r="AF75" s="313"/>
      <c r="AG75" s="313"/>
      <c r="AH75" s="313"/>
      <c r="AI75" s="313">
        <f>SUM(AI69:AI74)</f>
        <v>0.4098528</v>
      </c>
      <c r="AJ75" s="313"/>
      <c r="AK75" s="313">
        <f>SUM(AK69:AK74)</f>
        <v>3205.048896</v>
      </c>
      <c r="AL75" s="317"/>
      <c r="AM75" s="158">
        <f>AI75+N75</f>
        <v>0.846671616</v>
      </c>
      <c r="AN75" s="158"/>
      <c r="AO75" s="158"/>
    </row>
    <row r="76">
      <c r="B76" s="320"/>
      <c r="C76" s="313"/>
      <c r="D76" s="313"/>
      <c r="E76" s="313"/>
      <c r="F76" s="313"/>
      <c r="G76" s="313"/>
      <c r="H76" s="313"/>
      <c r="I76" s="313"/>
      <c r="J76" s="313"/>
      <c r="K76" s="313"/>
      <c r="L76" s="313"/>
      <c r="M76" s="313"/>
      <c r="N76" s="313"/>
      <c r="O76" s="313"/>
      <c r="P76" s="313">
        <f>P75/1000</f>
        <v>3.415923141</v>
      </c>
      <c r="Q76" s="322" t="s">
        <v>356</v>
      </c>
      <c r="R76" s="147">
        <f>P76*12*2</f>
        <v>81.98215539</v>
      </c>
      <c r="S76" s="321"/>
      <c r="T76" s="321"/>
      <c r="U76" s="321"/>
      <c r="V76" s="321"/>
      <c r="W76" s="320"/>
      <c r="X76" s="313"/>
      <c r="Y76" s="313"/>
      <c r="Z76" s="313"/>
      <c r="AA76" s="313"/>
      <c r="AB76" s="313"/>
      <c r="AC76" s="313"/>
      <c r="AD76" s="313"/>
      <c r="AE76" s="313"/>
      <c r="AF76" s="313"/>
      <c r="AG76" s="313"/>
      <c r="AH76" s="313"/>
      <c r="AI76" s="313"/>
      <c r="AJ76" s="313"/>
      <c r="AK76" s="313">
        <f>AK75/1000</f>
        <v>3.205048896</v>
      </c>
      <c r="AL76" s="322" t="s">
        <v>356</v>
      </c>
      <c r="AM76" s="307"/>
      <c r="AN76" s="307"/>
      <c r="AO76" s="307"/>
    </row>
    <row r="77">
      <c r="B77" s="320"/>
      <c r="C77" s="313"/>
      <c r="D77" s="313"/>
      <c r="E77" s="313"/>
      <c r="F77" s="313"/>
      <c r="G77" s="313"/>
      <c r="H77" s="313"/>
      <c r="I77" s="313"/>
      <c r="J77" s="313"/>
      <c r="K77" s="313"/>
      <c r="L77" s="313"/>
      <c r="M77" s="313"/>
      <c r="N77" s="313"/>
      <c r="O77" s="313"/>
      <c r="P77" s="313"/>
      <c r="Q77" s="322"/>
      <c r="R77" s="147">
        <f>N75*12*2</f>
        <v>10.48365158</v>
      </c>
      <c r="S77" s="321"/>
      <c r="T77" s="321"/>
      <c r="U77" s="321"/>
      <c r="V77" s="321"/>
      <c r="W77" s="320"/>
      <c r="X77" s="313"/>
      <c r="Y77" s="313"/>
      <c r="Z77" s="313"/>
      <c r="AA77" s="313"/>
      <c r="AB77" s="313"/>
      <c r="AC77" s="313"/>
      <c r="AD77" s="313"/>
      <c r="AE77" s="313"/>
      <c r="AF77" s="313"/>
      <c r="AG77" s="313"/>
      <c r="AH77" s="313"/>
      <c r="AI77" s="313"/>
      <c r="AJ77" s="313"/>
      <c r="AK77" s="313"/>
      <c r="AL77" s="322"/>
      <c r="AM77" s="307"/>
      <c r="AN77" s="307"/>
      <c r="AO77" s="307"/>
    </row>
    <row r="78">
      <c r="B78" s="323" t="s">
        <v>330</v>
      </c>
      <c r="C78" s="316" t="s">
        <v>357</v>
      </c>
      <c r="D78" s="316" t="s">
        <v>431</v>
      </c>
      <c r="E78" s="316" t="s">
        <v>333</v>
      </c>
      <c r="F78" s="316" t="s">
        <v>334</v>
      </c>
      <c r="G78" s="316" t="s">
        <v>335</v>
      </c>
      <c r="H78" s="316" t="s">
        <v>336</v>
      </c>
      <c r="I78" s="316" t="s">
        <v>337</v>
      </c>
      <c r="J78" s="316" t="s">
        <v>338</v>
      </c>
      <c r="K78" s="316" t="s">
        <v>339</v>
      </c>
      <c r="L78" s="316" t="s">
        <v>340</v>
      </c>
      <c r="M78" s="316" t="s">
        <v>341</v>
      </c>
      <c r="N78" s="316" t="s">
        <v>235</v>
      </c>
      <c r="O78" s="316" t="s">
        <v>342</v>
      </c>
      <c r="P78" s="316" t="s">
        <v>229</v>
      </c>
      <c r="Q78" s="317"/>
      <c r="S78" s="321"/>
      <c r="T78" s="321"/>
      <c r="U78" s="321"/>
      <c r="V78" s="321"/>
      <c r="W78" s="323" t="s">
        <v>330</v>
      </c>
      <c r="X78" s="316" t="s">
        <v>357</v>
      </c>
      <c r="Y78" s="362" t="s">
        <v>431</v>
      </c>
      <c r="Z78" s="316" t="s">
        <v>333</v>
      </c>
      <c r="AA78" s="316" t="s">
        <v>334</v>
      </c>
      <c r="AB78" s="316" t="s">
        <v>335</v>
      </c>
      <c r="AC78" s="316" t="s">
        <v>336</v>
      </c>
      <c r="AD78" s="316" t="s">
        <v>337</v>
      </c>
      <c r="AE78" s="316" t="s">
        <v>338</v>
      </c>
      <c r="AF78" s="316" t="s">
        <v>339</v>
      </c>
      <c r="AG78" s="316" t="s">
        <v>340</v>
      </c>
      <c r="AH78" s="316" t="s">
        <v>341</v>
      </c>
      <c r="AI78" s="316" t="s">
        <v>235</v>
      </c>
      <c r="AJ78" s="316" t="s">
        <v>342</v>
      </c>
      <c r="AK78" s="316" t="s">
        <v>229</v>
      </c>
      <c r="AL78" s="317"/>
      <c r="AM78" s="158"/>
      <c r="AN78" s="158"/>
      <c r="AO78" s="158"/>
    </row>
    <row r="79">
      <c r="B79" s="312" t="s">
        <v>445</v>
      </c>
      <c r="C79" s="313"/>
      <c r="D79" s="316">
        <v>1.0</v>
      </c>
      <c r="E79" s="316">
        <f t="shared" ref="E79:E84" si="71">-570.2</f>
        <v>-570.2</v>
      </c>
      <c r="F79" s="316">
        <v>-567.4</v>
      </c>
      <c r="G79" s="315">
        <f t="shared" ref="G79:G84" si="72">F79-E79</f>
        <v>2.8</v>
      </c>
      <c r="H79" s="316">
        <v>388.6</v>
      </c>
      <c r="I79" s="316">
        <v>411.4</v>
      </c>
      <c r="J79" s="313">
        <f t="shared" ref="J79:J84" si="73">I79-H79</f>
        <v>22.8</v>
      </c>
      <c r="K79" s="316">
        <v>508.4</v>
      </c>
      <c r="L79" s="316">
        <v>508.4</v>
      </c>
      <c r="M79" s="313">
        <f t="shared" ref="M79:M84" si="74">L79+K79</f>
        <v>1016.8</v>
      </c>
      <c r="N79" s="313">
        <f t="shared" ref="N79:N84" si="75">(G79*J79*M79)/1000000</f>
        <v>0.064912512</v>
      </c>
      <c r="O79" s="316">
        <v>7820.0</v>
      </c>
      <c r="P79" s="313">
        <f t="shared" ref="P79:P84" si="76">N79*O79</f>
        <v>507.6158438</v>
      </c>
      <c r="Q79" s="317"/>
      <c r="S79" s="319" t="s">
        <v>358</v>
      </c>
      <c r="T79" s="363" t="s">
        <v>446</v>
      </c>
      <c r="W79" s="312" t="s">
        <v>447</v>
      </c>
      <c r="X79" s="313"/>
      <c r="Y79" s="314">
        <v>1.0</v>
      </c>
      <c r="Z79" s="314">
        <v>-411.4</v>
      </c>
      <c r="AA79" s="314">
        <v>-388.6</v>
      </c>
      <c r="AB79" s="315">
        <f t="shared" ref="AB79:AB84" si="77">AA79-Z79</f>
        <v>22.8</v>
      </c>
      <c r="AC79" s="316">
        <v>535.0</v>
      </c>
      <c r="AD79" s="316">
        <v>535.0</v>
      </c>
      <c r="AE79" s="313">
        <f t="shared" ref="AE79:AE84" si="78">AD79+AC79</f>
        <v>1070</v>
      </c>
      <c r="AF79" s="316">
        <v>-570.2</v>
      </c>
      <c r="AG79" s="316">
        <v>-567.4</v>
      </c>
      <c r="AH79" s="313">
        <f t="shared" ref="AH79:AH84" si="79">AG79-AF79</f>
        <v>2.8</v>
      </c>
      <c r="AI79" s="313">
        <f t="shared" ref="AI79:AI84" si="80">(AB79*AE79*AH79)/1000000</f>
        <v>0.0683088</v>
      </c>
      <c r="AJ79" s="316">
        <v>7820.0</v>
      </c>
      <c r="AK79" s="313">
        <f t="shared" ref="AK79:AK84" si="81">AI79*AJ79</f>
        <v>534.174816</v>
      </c>
      <c r="AL79" s="317"/>
      <c r="AM79" s="158"/>
      <c r="AN79" s="158"/>
      <c r="AO79" s="158"/>
    </row>
    <row r="80">
      <c r="B80" s="323" t="s">
        <v>448</v>
      </c>
      <c r="C80" s="313"/>
      <c r="D80" s="316">
        <v>2.0</v>
      </c>
      <c r="E80" s="316">
        <f t="shared" si="71"/>
        <v>-570.2</v>
      </c>
      <c r="F80" s="316">
        <v>-567.4</v>
      </c>
      <c r="G80" s="315">
        <f t="shared" si="72"/>
        <v>2.8</v>
      </c>
      <c r="H80" s="316">
        <v>228.6</v>
      </c>
      <c r="I80" s="316">
        <v>251.4</v>
      </c>
      <c r="J80" s="313">
        <f t="shared" si="73"/>
        <v>22.8</v>
      </c>
      <c r="K80" s="316">
        <v>508.4</v>
      </c>
      <c r="L80" s="316">
        <v>508.4</v>
      </c>
      <c r="M80" s="313">
        <f t="shared" si="74"/>
        <v>1016.8</v>
      </c>
      <c r="N80" s="313">
        <f t="shared" si="75"/>
        <v>0.064912512</v>
      </c>
      <c r="O80" s="316">
        <v>7820.0</v>
      </c>
      <c r="P80" s="313">
        <f t="shared" si="76"/>
        <v>507.6158438</v>
      </c>
      <c r="Q80" s="317"/>
      <c r="S80" s="319" t="s">
        <v>361</v>
      </c>
      <c r="T80" s="363" t="s">
        <v>446</v>
      </c>
      <c r="W80" s="312" t="s">
        <v>449</v>
      </c>
      <c r="X80" s="313"/>
      <c r="Y80" s="314">
        <v>2.0</v>
      </c>
      <c r="Z80" s="314">
        <v>-251.4</v>
      </c>
      <c r="AA80" s="314">
        <v>-228.6</v>
      </c>
      <c r="AB80" s="315">
        <f t="shared" si="77"/>
        <v>22.8</v>
      </c>
      <c r="AC80" s="316">
        <v>535.0</v>
      </c>
      <c r="AD80" s="316">
        <v>535.0</v>
      </c>
      <c r="AE80" s="313">
        <f t="shared" si="78"/>
        <v>1070</v>
      </c>
      <c r="AF80" s="316">
        <v>-570.2</v>
      </c>
      <c r="AG80" s="316">
        <v>-567.4</v>
      </c>
      <c r="AH80" s="313">
        <f t="shared" si="79"/>
        <v>2.8</v>
      </c>
      <c r="AI80" s="313">
        <f t="shared" si="80"/>
        <v>0.0683088</v>
      </c>
      <c r="AJ80" s="316">
        <v>7820.0</v>
      </c>
      <c r="AK80" s="313">
        <f t="shared" si="81"/>
        <v>534.174816</v>
      </c>
      <c r="AL80" s="317"/>
      <c r="AM80" s="158"/>
      <c r="AN80" s="158"/>
      <c r="AO80" s="158"/>
    </row>
    <row r="81">
      <c r="B81" s="323" t="s">
        <v>450</v>
      </c>
      <c r="C81" s="313"/>
      <c r="D81" s="316">
        <v>3.0</v>
      </c>
      <c r="E81" s="316">
        <f t="shared" si="71"/>
        <v>-570.2</v>
      </c>
      <c r="F81" s="316">
        <v>-567.4</v>
      </c>
      <c r="G81" s="315">
        <f t="shared" si="72"/>
        <v>2.8</v>
      </c>
      <c r="H81" s="316">
        <v>68.6</v>
      </c>
      <c r="I81" s="316">
        <v>91.4</v>
      </c>
      <c r="J81" s="313">
        <f t="shared" si="73"/>
        <v>22.8</v>
      </c>
      <c r="K81" s="316">
        <v>508.4</v>
      </c>
      <c r="L81" s="316">
        <v>508.4</v>
      </c>
      <c r="M81" s="313">
        <f t="shared" si="74"/>
        <v>1016.8</v>
      </c>
      <c r="N81" s="313">
        <f t="shared" si="75"/>
        <v>0.064912512</v>
      </c>
      <c r="O81" s="316">
        <v>7820.0</v>
      </c>
      <c r="P81" s="313">
        <f t="shared" si="76"/>
        <v>507.6158438</v>
      </c>
      <c r="Q81" s="317"/>
      <c r="S81" s="319" t="s">
        <v>363</v>
      </c>
      <c r="T81" s="363" t="s">
        <v>446</v>
      </c>
      <c r="W81" s="312" t="s">
        <v>451</v>
      </c>
      <c r="X81" s="313"/>
      <c r="Y81" s="314">
        <v>3.0</v>
      </c>
      <c r="Z81" s="314">
        <v>-91.4</v>
      </c>
      <c r="AA81" s="314">
        <v>-68.6</v>
      </c>
      <c r="AB81" s="315">
        <f t="shared" si="77"/>
        <v>22.8</v>
      </c>
      <c r="AC81" s="316">
        <v>535.0</v>
      </c>
      <c r="AD81" s="316">
        <v>535.0</v>
      </c>
      <c r="AE81" s="313">
        <f t="shared" si="78"/>
        <v>1070</v>
      </c>
      <c r="AF81" s="316">
        <v>-570.2</v>
      </c>
      <c r="AG81" s="316">
        <v>-567.4</v>
      </c>
      <c r="AH81" s="313">
        <f t="shared" si="79"/>
        <v>2.8</v>
      </c>
      <c r="AI81" s="313">
        <f t="shared" si="80"/>
        <v>0.0683088</v>
      </c>
      <c r="AJ81" s="316">
        <v>7820.0</v>
      </c>
      <c r="AK81" s="313">
        <f t="shared" si="81"/>
        <v>534.174816</v>
      </c>
      <c r="AL81" s="317"/>
      <c r="AM81" s="158"/>
      <c r="AN81" s="158"/>
      <c r="AO81" s="158"/>
    </row>
    <row r="82">
      <c r="B82" s="323" t="s">
        <v>452</v>
      </c>
      <c r="C82" s="313"/>
      <c r="D82" s="316">
        <v>4.0</v>
      </c>
      <c r="E82" s="316">
        <f t="shared" si="71"/>
        <v>-570.2</v>
      </c>
      <c r="F82" s="316">
        <v>-567.4</v>
      </c>
      <c r="G82" s="315">
        <f t="shared" si="72"/>
        <v>2.8</v>
      </c>
      <c r="H82" s="316">
        <v>-91.4</v>
      </c>
      <c r="I82" s="316">
        <v>-68.6</v>
      </c>
      <c r="J82" s="313">
        <f t="shared" si="73"/>
        <v>22.8</v>
      </c>
      <c r="K82" s="316">
        <v>508.4</v>
      </c>
      <c r="L82" s="316">
        <v>508.4</v>
      </c>
      <c r="M82" s="313">
        <f t="shared" si="74"/>
        <v>1016.8</v>
      </c>
      <c r="N82" s="313">
        <f t="shared" si="75"/>
        <v>0.064912512</v>
      </c>
      <c r="O82" s="316">
        <v>7820.0</v>
      </c>
      <c r="P82" s="313">
        <f t="shared" si="76"/>
        <v>507.6158438</v>
      </c>
      <c r="Q82" s="317"/>
      <c r="S82" s="319" t="s">
        <v>365</v>
      </c>
      <c r="T82" s="363" t="s">
        <v>446</v>
      </c>
      <c r="W82" s="312" t="s">
        <v>453</v>
      </c>
      <c r="X82" s="313"/>
      <c r="Y82" s="314">
        <v>4.0</v>
      </c>
      <c r="Z82" s="314">
        <v>68.6</v>
      </c>
      <c r="AA82" s="314">
        <v>91.4</v>
      </c>
      <c r="AB82" s="315">
        <f t="shared" si="77"/>
        <v>22.8</v>
      </c>
      <c r="AC82" s="316">
        <v>535.0</v>
      </c>
      <c r="AD82" s="316">
        <v>535.0</v>
      </c>
      <c r="AE82" s="313">
        <f t="shared" si="78"/>
        <v>1070</v>
      </c>
      <c r="AF82" s="316">
        <v>-570.2</v>
      </c>
      <c r="AG82" s="316">
        <v>-567.4</v>
      </c>
      <c r="AH82" s="313">
        <f t="shared" si="79"/>
        <v>2.8</v>
      </c>
      <c r="AI82" s="313">
        <f t="shared" si="80"/>
        <v>0.0683088</v>
      </c>
      <c r="AJ82" s="316">
        <v>7820.0</v>
      </c>
      <c r="AK82" s="313">
        <f t="shared" si="81"/>
        <v>534.174816</v>
      </c>
      <c r="AL82" s="317"/>
      <c r="AM82" s="158"/>
      <c r="AN82" s="158"/>
      <c r="AO82" s="158"/>
    </row>
    <row r="83">
      <c r="B83" s="323" t="s">
        <v>454</v>
      </c>
      <c r="C83" s="313"/>
      <c r="D83" s="316">
        <v>5.0</v>
      </c>
      <c r="E83" s="316">
        <f t="shared" si="71"/>
        <v>-570.2</v>
      </c>
      <c r="F83" s="316">
        <v>-567.4</v>
      </c>
      <c r="G83" s="315">
        <f t="shared" si="72"/>
        <v>2.8</v>
      </c>
      <c r="H83" s="316">
        <v>-252.1</v>
      </c>
      <c r="I83" s="316">
        <v>-229.3</v>
      </c>
      <c r="J83" s="313">
        <f t="shared" si="73"/>
        <v>22.8</v>
      </c>
      <c r="K83" s="316">
        <v>508.4</v>
      </c>
      <c r="L83" s="316">
        <v>508.4</v>
      </c>
      <c r="M83" s="313">
        <f t="shared" si="74"/>
        <v>1016.8</v>
      </c>
      <c r="N83" s="313">
        <f t="shared" si="75"/>
        <v>0.064912512</v>
      </c>
      <c r="O83" s="316">
        <v>7820.0</v>
      </c>
      <c r="P83" s="313">
        <f t="shared" si="76"/>
        <v>507.6158438</v>
      </c>
      <c r="Q83" s="317"/>
      <c r="S83" s="319" t="s">
        <v>367</v>
      </c>
      <c r="T83" s="363" t="s">
        <v>446</v>
      </c>
      <c r="W83" s="312" t="s">
        <v>455</v>
      </c>
      <c r="X83" s="313"/>
      <c r="Y83" s="314">
        <v>5.0</v>
      </c>
      <c r="Z83" s="314">
        <v>228.6</v>
      </c>
      <c r="AA83" s="314">
        <v>251.4</v>
      </c>
      <c r="AB83" s="315">
        <f t="shared" si="77"/>
        <v>22.8</v>
      </c>
      <c r="AC83" s="316">
        <v>535.0</v>
      </c>
      <c r="AD83" s="316">
        <v>535.0</v>
      </c>
      <c r="AE83" s="313">
        <f t="shared" si="78"/>
        <v>1070</v>
      </c>
      <c r="AF83" s="316">
        <v>-570.2</v>
      </c>
      <c r="AG83" s="316">
        <v>-567.4</v>
      </c>
      <c r="AH83" s="313">
        <f t="shared" si="79"/>
        <v>2.8</v>
      </c>
      <c r="AI83" s="313">
        <f t="shared" si="80"/>
        <v>0.0683088</v>
      </c>
      <c r="AJ83" s="316">
        <v>7820.0</v>
      </c>
      <c r="AK83" s="313">
        <f t="shared" si="81"/>
        <v>534.174816</v>
      </c>
      <c r="AL83" s="317"/>
      <c r="AM83" s="158"/>
      <c r="AN83" s="158"/>
      <c r="AO83" s="158"/>
    </row>
    <row r="84">
      <c r="B84" s="323" t="s">
        <v>456</v>
      </c>
      <c r="C84" s="313"/>
      <c r="D84" s="316">
        <v>6.0</v>
      </c>
      <c r="E84" s="316">
        <f t="shared" si="71"/>
        <v>-570.2</v>
      </c>
      <c r="F84" s="316">
        <v>-567.4</v>
      </c>
      <c r="G84" s="315">
        <f t="shared" si="72"/>
        <v>2.8</v>
      </c>
      <c r="H84" s="316">
        <v>-411.4</v>
      </c>
      <c r="I84" s="316">
        <v>-388.6</v>
      </c>
      <c r="J84" s="313">
        <f t="shared" si="73"/>
        <v>22.8</v>
      </c>
      <c r="K84" s="316">
        <v>508.4</v>
      </c>
      <c r="L84" s="316">
        <v>508.4</v>
      </c>
      <c r="M84" s="313">
        <f t="shared" si="74"/>
        <v>1016.8</v>
      </c>
      <c r="N84" s="313">
        <f t="shared" si="75"/>
        <v>0.064912512</v>
      </c>
      <c r="O84" s="316">
        <v>7820.0</v>
      </c>
      <c r="P84" s="313">
        <f t="shared" si="76"/>
        <v>507.6158438</v>
      </c>
      <c r="Q84" s="317"/>
      <c r="S84" s="319" t="s">
        <v>369</v>
      </c>
      <c r="T84" s="363" t="s">
        <v>446</v>
      </c>
      <c r="U84" s="319"/>
      <c r="V84" s="319"/>
      <c r="W84" s="312" t="s">
        <v>457</v>
      </c>
      <c r="X84" s="313"/>
      <c r="Y84" s="314">
        <v>6.0</v>
      </c>
      <c r="Z84" s="314">
        <v>388.6</v>
      </c>
      <c r="AA84" s="314">
        <v>411.4</v>
      </c>
      <c r="AB84" s="315">
        <f t="shared" si="77"/>
        <v>22.8</v>
      </c>
      <c r="AC84" s="316">
        <v>535.0</v>
      </c>
      <c r="AD84" s="316">
        <v>535.0</v>
      </c>
      <c r="AE84" s="313">
        <f t="shared" si="78"/>
        <v>1070</v>
      </c>
      <c r="AF84" s="316">
        <v>-570.2</v>
      </c>
      <c r="AG84" s="316">
        <v>-567.4</v>
      </c>
      <c r="AH84" s="313">
        <f t="shared" si="79"/>
        <v>2.8</v>
      </c>
      <c r="AI84" s="313">
        <f t="shared" si="80"/>
        <v>0.0683088</v>
      </c>
      <c r="AJ84" s="316">
        <v>7820.0</v>
      </c>
      <c r="AK84" s="313">
        <f t="shared" si="81"/>
        <v>534.174816</v>
      </c>
      <c r="AL84" s="317"/>
      <c r="AM84" s="158"/>
      <c r="AN84" s="158"/>
      <c r="AO84" s="158"/>
    </row>
    <row r="85">
      <c r="B85" s="320"/>
      <c r="C85" s="313"/>
      <c r="D85" s="316" t="s">
        <v>294</v>
      </c>
      <c r="E85" s="313"/>
      <c r="F85" s="313"/>
      <c r="G85" s="313"/>
      <c r="H85" s="313"/>
      <c r="I85" s="313"/>
      <c r="J85" s="313"/>
      <c r="K85" s="313"/>
      <c r="L85" s="313"/>
      <c r="M85" s="313"/>
      <c r="N85" s="313">
        <f>SUM(N79:N84)</f>
        <v>0.389475072</v>
      </c>
      <c r="O85" s="313"/>
      <c r="P85" s="313">
        <f>SUM(P79:P84)</f>
        <v>3045.695063</v>
      </c>
      <c r="Q85" s="317"/>
      <c r="S85" s="321"/>
      <c r="T85" s="321"/>
      <c r="U85" s="321"/>
      <c r="V85" s="321"/>
      <c r="W85" s="320"/>
      <c r="X85" s="313"/>
      <c r="Y85" s="316" t="s">
        <v>294</v>
      </c>
      <c r="Z85" s="313"/>
      <c r="AA85" s="313"/>
      <c r="AB85" s="313"/>
      <c r="AC85" s="313"/>
      <c r="AD85" s="313"/>
      <c r="AE85" s="313"/>
      <c r="AF85" s="313"/>
      <c r="AG85" s="313"/>
      <c r="AH85" s="313"/>
      <c r="AI85" s="313">
        <f>SUM(AI79:AI84)</f>
        <v>0.4098528</v>
      </c>
      <c r="AJ85" s="313"/>
      <c r="AK85" s="313">
        <f>SUM(AK79:AK84)</f>
        <v>3205.048896</v>
      </c>
      <c r="AL85" s="317"/>
      <c r="AM85" s="158">
        <f>AI85+N85</f>
        <v>0.799327872</v>
      </c>
      <c r="AN85" s="158"/>
      <c r="AO85" s="158"/>
    </row>
    <row r="86">
      <c r="B86" s="324"/>
      <c r="C86" s="325"/>
      <c r="D86" s="325"/>
      <c r="E86" s="325"/>
      <c r="F86" s="325"/>
      <c r="G86" s="325"/>
      <c r="H86" s="325"/>
      <c r="I86" s="325"/>
      <c r="J86" s="325"/>
      <c r="K86" s="325"/>
      <c r="L86" s="325"/>
      <c r="M86" s="325"/>
      <c r="N86" s="325"/>
      <c r="O86" s="325"/>
      <c r="P86" s="325">
        <f>P85/1000</f>
        <v>3.045695063</v>
      </c>
      <c r="Q86" s="326" t="s">
        <v>371</v>
      </c>
      <c r="S86" s="321"/>
      <c r="T86" s="321"/>
      <c r="U86" s="321"/>
      <c r="V86" s="321"/>
      <c r="W86" s="324"/>
      <c r="X86" s="325"/>
      <c r="Y86" s="325"/>
      <c r="Z86" s="325"/>
      <c r="AA86" s="325"/>
      <c r="AB86" s="325"/>
      <c r="AC86" s="325"/>
      <c r="AD86" s="325"/>
      <c r="AE86" s="325"/>
      <c r="AF86" s="325"/>
      <c r="AG86" s="325"/>
      <c r="AH86" s="325"/>
      <c r="AI86" s="325"/>
      <c r="AJ86" s="325"/>
      <c r="AK86" s="325">
        <f>AK85/1000</f>
        <v>3.205048896</v>
      </c>
      <c r="AL86" s="326" t="s">
        <v>371</v>
      </c>
      <c r="AM86" s="307"/>
      <c r="AN86" s="307"/>
      <c r="AO86" s="307"/>
    </row>
    <row r="87">
      <c r="Q87" s="44"/>
      <c r="S87" s="321"/>
      <c r="T87" s="321"/>
      <c r="U87" s="321"/>
      <c r="V87" s="321"/>
      <c r="AM87" s="158"/>
      <c r="AN87" s="158"/>
      <c r="AO87" s="158"/>
    </row>
    <row r="88">
      <c r="B88" s="327" t="s">
        <v>330</v>
      </c>
      <c r="C88" s="328" t="s">
        <v>372</v>
      </c>
      <c r="D88" s="362" t="s">
        <v>431</v>
      </c>
      <c r="E88" s="328" t="s">
        <v>333</v>
      </c>
      <c r="F88" s="328" t="s">
        <v>334</v>
      </c>
      <c r="G88" s="328" t="s">
        <v>335</v>
      </c>
      <c r="H88" s="328" t="s">
        <v>336</v>
      </c>
      <c r="I88" s="328" t="s">
        <v>337</v>
      </c>
      <c r="J88" s="328" t="s">
        <v>338</v>
      </c>
      <c r="K88" s="328" t="s">
        <v>339</v>
      </c>
      <c r="L88" s="328" t="s">
        <v>340</v>
      </c>
      <c r="M88" s="328" t="s">
        <v>341</v>
      </c>
      <c r="N88" s="328" t="s">
        <v>235</v>
      </c>
      <c r="O88" s="328" t="s">
        <v>342</v>
      </c>
      <c r="P88" s="328" t="s">
        <v>229</v>
      </c>
      <c r="Q88" s="329"/>
      <c r="S88" s="321"/>
      <c r="T88" s="321"/>
      <c r="U88" s="321"/>
      <c r="V88" s="321"/>
      <c r="W88" s="327" t="s">
        <v>330</v>
      </c>
      <c r="X88" s="328" t="s">
        <v>372</v>
      </c>
      <c r="Y88" s="362" t="s">
        <v>431</v>
      </c>
      <c r="Z88" s="328" t="s">
        <v>333</v>
      </c>
      <c r="AA88" s="328" t="s">
        <v>334</v>
      </c>
      <c r="AB88" s="328" t="s">
        <v>335</v>
      </c>
      <c r="AC88" s="328" t="s">
        <v>336</v>
      </c>
      <c r="AD88" s="328" t="s">
        <v>337</v>
      </c>
      <c r="AE88" s="328" t="s">
        <v>338</v>
      </c>
      <c r="AF88" s="328" t="s">
        <v>339</v>
      </c>
      <c r="AG88" s="328" t="s">
        <v>340</v>
      </c>
      <c r="AH88" s="328" t="s">
        <v>341</v>
      </c>
      <c r="AI88" s="328" t="s">
        <v>235</v>
      </c>
      <c r="AJ88" s="328" t="s">
        <v>342</v>
      </c>
      <c r="AK88" s="328" t="s">
        <v>229</v>
      </c>
      <c r="AL88" s="329"/>
      <c r="AM88" s="158"/>
      <c r="AN88" s="158"/>
      <c r="AO88" s="158"/>
    </row>
    <row r="89">
      <c r="B89" s="330" t="s">
        <v>458</v>
      </c>
      <c r="C89" s="331"/>
      <c r="D89" s="332">
        <v>1.0</v>
      </c>
      <c r="E89" s="333">
        <v>508.4</v>
      </c>
      <c r="F89" s="333">
        <v>508.4</v>
      </c>
      <c r="G89" s="334">
        <f t="shared" ref="G89:G94" si="82">SUM(E89:F89)</f>
        <v>1016.8</v>
      </c>
      <c r="H89" s="332">
        <v>475.18</v>
      </c>
      <c r="I89" s="332">
        <v>478.8</v>
      </c>
      <c r="J89" s="331">
        <f t="shared" ref="J89:J94" si="83">I89-H89</f>
        <v>3.62</v>
      </c>
      <c r="K89" s="332">
        <v>-411.4</v>
      </c>
      <c r="L89" s="332">
        <v>-388.6</v>
      </c>
      <c r="M89" s="331">
        <f t="shared" ref="M89:M94" si="84">L89-K89</f>
        <v>22.8</v>
      </c>
      <c r="N89" s="331">
        <f t="shared" ref="N89:N94" si="85">(G89*J89*M89)/1000000</f>
        <v>0.0839226048</v>
      </c>
      <c r="O89" s="332">
        <v>7820.0</v>
      </c>
      <c r="P89" s="331">
        <f t="shared" ref="P89:P94" si="86">N89*O89</f>
        <v>656.2747695</v>
      </c>
      <c r="Q89" s="335"/>
      <c r="S89" s="319" t="s">
        <v>374</v>
      </c>
      <c r="T89" s="319" t="s">
        <v>375</v>
      </c>
      <c r="W89" s="330" t="s">
        <v>459</v>
      </c>
      <c r="X89" s="331"/>
      <c r="Y89" s="332">
        <v>1.0</v>
      </c>
      <c r="Z89" s="333">
        <v>388.6</v>
      </c>
      <c r="AA89" s="333">
        <v>411.4</v>
      </c>
      <c r="AB89" s="334">
        <f t="shared" ref="AB89:AB94" si="87">AA89-Z89</f>
        <v>22.8</v>
      </c>
      <c r="AC89" s="332">
        <v>475.18</v>
      </c>
      <c r="AD89" s="332">
        <v>478.8</v>
      </c>
      <c r="AE89" s="331">
        <f t="shared" ref="AE89:AE94" si="88">AD89-AC89</f>
        <v>3.62</v>
      </c>
      <c r="AF89" s="332">
        <v>508.4</v>
      </c>
      <c r="AG89" s="332">
        <v>508.4</v>
      </c>
      <c r="AH89" s="331">
        <f t="shared" ref="AH89:AH94" si="89">AF89+AG89</f>
        <v>1016.8</v>
      </c>
      <c r="AI89" s="331">
        <f t="shared" ref="AI89:AI94" si="90">(AB89*AE89*AH89)/1000000</f>
        <v>0.0839226048</v>
      </c>
      <c r="AJ89" s="332">
        <v>7820.0</v>
      </c>
      <c r="AK89" s="331">
        <f t="shared" ref="AK89:AK94" si="91">AI89*AJ89</f>
        <v>656.2747695</v>
      </c>
      <c r="AL89" s="335"/>
      <c r="AM89" s="158"/>
      <c r="AN89" s="158"/>
      <c r="AO89" s="158"/>
    </row>
    <row r="90">
      <c r="B90" s="330" t="s">
        <v>460</v>
      </c>
      <c r="C90" s="331"/>
      <c r="D90" s="332">
        <v>2.0</v>
      </c>
      <c r="E90" s="333">
        <v>508.4</v>
      </c>
      <c r="F90" s="333">
        <v>508.4</v>
      </c>
      <c r="G90" s="334">
        <f t="shared" si="82"/>
        <v>1016.8</v>
      </c>
      <c r="H90" s="332">
        <v>475.18</v>
      </c>
      <c r="I90" s="332">
        <v>478.8</v>
      </c>
      <c r="J90" s="331">
        <f t="shared" si="83"/>
        <v>3.62</v>
      </c>
      <c r="K90" s="332">
        <v>-251.4</v>
      </c>
      <c r="L90" s="332">
        <v>-228.6</v>
      </c>
      <c r="M90" s="331">
        <f t="shared" si="84"/>
        <v>22.8</v>
      </c>
      <c r="N90" s="331">
        <f t="shared" si="85"/>
        <v>0.0839226048</v>
      </c>
      <c r="O90" s="332">
        <v>7820.0</v>
      </c>
      <c r="P90" s="331">
        <f t="shared" si="86"/>
        <v>656.2747695</v>
      </c>
      <c r="Q90" s="335"/>
      <c r="S90" s="319" t="s">
        <v>377</v>
      </c>
      <c r="T90" s="319" t="s">
        <v>375</v>
      </c>
      <c r="W90" s="330" t="s">
        <v>461</v>
      </c>
      <c r="X90" s="331"/>
      <c r="Y90" s="332">
        <v>2.0</v>
      </c>
      <c r="Z90" s="333">
        <v>228.6</v>
      </c>
      <c r="AA90" s="333">
        <v>251.4</v>
      </c>
      <c r="AB90" s="334">
        <f t="shared" si="87"/>
        <v>22.8</v>
      </c>
      <c r="AC90" s="332">
        <v>475.18</v>
      </c>
      <c r="AD90" s="332">
        <v>478.8</v>
      </c>
      <c r="AE90" s="331">
        <f t="shared" si="88"/>
        <v>3.62</v>
      </c>
      <c r="AF90" s="332">
        <v>508.4</v>
      </c>
      <c r="AG90" s="332">
        <v>508.4</v>
      </c>
      <c r="AH90" s="331">
        <f t="shared" si="89"/>
        <v>1016.8</v>
      </c>
      <c r="AI90" s="331">
        <f t="shared" si="90"/>
        <v>0.0839226048</v>
      </c>
      <c r="AJ90" s="332">
        <v>7820.0</v>
      </c>
      <c r="AK90" s="331">
        <f t="shared" si="91"/>
        <v>656.2747695</v>
      </c>
      <c r="AL90" s="335"/>
      <c r="AM90" s="158"/>
      <c r="AN90" s="158"/>
      <c r="AO90" s="158"/>
    </row>
    <row r="91">
      <c r="B91" s="330" t="s">
        <v>462</v>
      </c>
      <c r="C91" s="331"/>
      <c r="D91" s="332">
        <v>3.0</v>
      </c>
      <c r="E91" s="333">
        <v>508.4</v>
      </c>
      <c r="F91" s="333">
        <v>508.4</v>
      </c>
      <c r="G91" s="334">
        <f t="shared" si="82"/>
        <v>1016.8</v>
      </c>
      <c r="H91" s="332">
        <v>475.18</v>
      </c>
      <c r="I91" s="332">
        <v>478.8</v>
      </c>
      <c r="J91" s="331">
        <f t="shared" si="83"/>
        <v>3.62</v>
      </c>
      <c r="K91" s="332">
        <v>-91.4</v>
      </c>
      <c r="L91" s="332">
        <v>-68.6</v>
      </c>
      <c r="M91" s="331">
        <f t="shared" si="84"/>
        <v>22.8</v>
      </c>
      <c r="N91" s="331">
        <f t="shared" si="85"/>
        <v>0.0839226048</v>
      </c>
      <c r="O91" s="332">
        <v>7820.0</v>
      </c>
      <c r="P91" s="331">
        <f t="shared" si="86"/>
        <v>656.2747695</v>
      </c>
      <c r="Q91" s="335"/>
      <c r="S91" s="319" t="s">
        <v>379</v>
      </c>
      <c r="T91" s="319" t="s">
        <v>375</v>
      </c>
      <c r="W91" s="330" t="s">
        <v>463</v>
      </c>
      <c r="X91" s="331"/>
      <c r="Y91" s="332">
        <v>3.0</v>
      </c>
      <c r="Z91" s="333">
        <v>68.6</v>
      </c>
      <c r="AA91" s="333">
        <v>91.4</v>
      </c>
      <c r="AB91" s="334">
        <f t="shared" si="87"/>
        <v>22.8</v>
      </c>
      <c r="AC91" s="332">
        <v>475.18</v>
      </c>
      <c r="AD91" s="332">
        <v>478.8</v>
      </c>
      <c r="AE91" s="331">
        <f t="shared" si="88"/>
        <v>3.62</v>
      </c>
      <c r="AF91" s="332">
        <v>508.4</v>
      </c>
      <c r="AG91" s="332">
        <v>508.4</v>
      </c>
      <c r="AH91" s="331">
        <f t="shared" si="89"/>
        <v>1016.8</v>
      </c>
      <c r="AI91" s="331">
        <f t="shared" si="90"/>
        <v>0.0839226048</v>
      </c>
      <c r="AJ91" s="332">
        <v>7820.0</v>
      </c>
      <c r="AK91" s="331">
        <f t="shared" si="91"/>
        <v>656.2747695</v>
      </c>
      <c r="AL91" s="335"/>
      <c r="AM91" s="158"/>
      <c r="AN91" s="158"/>
      <c r="AO91" s="158"/>
    </row>
    <row r="92">
      <c r="B92" s="330" t="s">
        <v>464</v>
      </c>
      <c r="C92" s="331"/>
      <c r="D92" s="332">
        <v>4.0</v>
      </c>
      <c r="E92" s="333">
        <v>508.4</v>
      </c>
      <c r="F92" s="333">
        <v>508.4</v>
      </c>
      <c r="G92" s="334">
        <f t="shared" si="82"/>
        <v>1016.8</v>
      </c>
      <c r="H92" s="332">
        <v>475.18</v>
      </c>
      <c r="I92" s="332">
        <v>478.8</v>
      </c>
      <c r="J92" s="331">
        <f t="shared" si="83"/>
        <v>3.62</v>
      </c>
      <c r="K92" s="332">
        <v>68.6</v>
      </c>
      <c r="L92" s="332">
        <v>91.4</v>
      </c>
      <c r="M92" s="331">
        <f t="shared" si="84"/>
        <v>22.8</v>
      </c>
      <c r="N92" s="331">
        <f t="shared" si="85"/>
        <v>0.0839226048</v>
      </c>
      <c r="O92" s="332">
        <v>7820.0</v>
      </c>
      <c r="P92" s="331">
        <f t="shared" si="86"/>
        <v>656.2747695</v>
      </c>
      <c r="Q92" s="335"/>
      <c r="S92" s="319" t="s">
        <v>381</v>
      </c>
      <c r="T92" s="319" t="s">
        <v>375</v>
      </c>
      <c r="W92" s="330" t="s">
        <v>465</v>
      </c>
      <c r="X92" s="331"/>
      <c r="Y92" s="332">
        <v>4.0</v>
      </c>
      <c r="Z92" s="333">
        <v>-91.4</v>
      </c>
      <c r="AA92" s="333">
        <v>-68.6</v>
      </c>
      <c r="AB92" s="334">
        <f t="shared" si="87"/>
        <v>22.8</v>
      </c>
      <c r="AC92" s="332">
        <v>475.18</v>
      </c>
      <c r="AD92" s="332">
        <v>478.8</v>
      </c>
      <c r="AE92" s="331">
        <f t="shared" si="88"/>
        <v>3.62</v>
      </c>
      <c r="AF92" s="332">
        <v>508.4</v>
      </c>
      <c r="AG92" s="332">
        <v>508.4</v>
      </c>
      <c r="AH92" s="331">
        <f t="shared" si="89"/>
        <v>1016.8</v>
      </c>
      <c r="AI92" s="331">
        <f t="shared" si="90"/>
        <v>0.0839226048</v>
      </c>
      <c r="AJ92" s="332">
        <v>7820.0</v>
      </c>
      <c r="AK92" s="331">
        <f t="shared" si="91"/>
        <v>656.2747695</v>
      </c>
      <c r="AL92" s="335"/>
      <c r="AM92" s="158"/>
      <c r="AN92" s="158"/>
      <c r="AO92" s="158"/>
    </row>
    <row r="93">
      <c r="B93" s="330" t="s">
        <v>466</v>
      </c>
      <c r="C93" s="331"/>
      <c r="D93" s="332">
        <v>5.0</v>
      </c>
      <c r="E93" s="333">
        <v>508.4</v>
      </c>
      <c r="F93" s="333">
        <v>508.4</v>
      </c>
      <c r="G93" s="334">
        <f t="shared" si="82"/>
        <v>1016.8</v>
      </c>
      <c r="H93" s="332">
        <v>475.18</v>
      </c>
      <c r="I93" s="332">
        <v>478.8</v>
      </c>
      <c r="J93" s="331">
        <f t="shared" si="83"/>
        <v>3.62</v>
      </c>
      <c r="K93" s="332">
        <v>228.6</v>
      </c>
      <c r="L93" s="332">
        <v>251.4</v>
      </c>
      <c r="M93" s="331">
        <f t="shared" si="84"/>
        <v>22.8</v>
      </c>
      <c r="N93" s="331">
        <f t="shared" si="85"/>
        <v>0.0839226048</v>
      </c>
      <c r="O93" s="332">
        <v>7820.0</v>
      </c>
      <c r="P93" s="331">
        <f t="shared" si="86"/>
        <v>656.2747695</v>
      </c>
      <c r="Q93" s="335"/>
      <c r="S93" s="319" t="s">
        <v>383</v>
      </c>
      <c r="T93" s="319" t="s">
        <v>375</v>
      </c>
      <c r="W93" s="330" t="s">
        <v>467</v>
      </c>
      <c r="X93" s="331"/>
      <c r="Y93" s="332">
        <v>5.0</v>
      </c>
      <c r="Z93" s="333">
        <v>-252.1</v>
      </c>
      <c r="AA93" s="333">
        <v>-229.3</v>
      </c>
      <c r="AB93" s="334">
        <f t="shared" si="87"/>
        <v>22.8</v>
      </c>
      <c r="AC93" s="332">
        <v>475.18</v>
      </c>
      <c r="AD93" s="332">
        <v>478.8</v>
      </c>
      <c r="AE93" s="331">
        <f t="shared" si="88"/>
        <v>3.62</v>
      </c>
      <c r="AF93" s="332">
        <v>508.4</v>
      </c>
      <c r="AG93" s="332">
        <v>508.4</v>
      </c>
      <c r="AH93" s="331">
        <f t="shared" si="89"/>
        <v>1016.8</v>
      </c>
      <c r="AI93" s="331">
        <f t="shared" si="90"/>
        <v>0.0839226048</v>
      </c>
      <c r="AJ93" s="332">
        <v>7820.0</v>
      </c>
      <c r="AK93" s="331">
        <f t="shared" si="91"/>
        <v>656.2747695</v>
      </c>
      <c r="AL93" s="335"/>
      <c r="AM93" s="158"/>
      <c r="AN93" s="158"/>
      <c r="AO93" s="158"/>
    </row>
    <row r="94">
      <c r="B94" s="330" t="s">
        <v>468</v>
      </c>
      <c r="C94" s="331"/>
      <c r="D94" s="332">
        <v>6.0</v>
      </c>
      <c r="E94" s="333">
        <v>508.4</v>
      </c>
      <c r="F94" s="333">
        <v>508.4</v>
      </c>
      <c r="G94" s="334">
        <f t="shared" si="82"/>
        <v>1016.8</v>
      </c>
      <c r="H94" s="332">
        <v>475.18</v>
      </c>
      <c r="I94" s="332">
        <v>478.8</v>
      </c>
      <c r="J94" s="331">
        <f t="shared" si="83"/>
        <v>3.62</v>
      </c>
      <c r="K94" s="332">
        <v>388.6</v>
      </c>
      <c r="L94" s="332">
        <v>411.4</v>
      </c>
      <c r="M94" s="331">
        <f t="shared" si="84"/>
        <v>22.8</v>
      </c>
      <c r="N94" s="331">
        <f t="shared" si="85"/>
        <v>0.0839226048</v>
      </c>
      <c r="O94" s="332">
        <v>7820.0</v>
      </c>
      <c r="P94" s="331">
        <f t="shared" si="86"/>
        <v>656.2747695</v>
      </c>
      <c r="Q94" s="335"/>
      <c r="S94" s="319" t="s">
        <v>385</v>
      </c>
      <c r="T94" s="319" t="s">
        <v>375</v>
      </c>
      <c r="W94" s="330" t="s">
        <v>469</v>
      </c>
      <c r="X94" s="331"/>
      <c r="Y94" s="332">
        <v>6.0</v>
      </c>
      <c r="Z94" s="333">
        <v>-411.4</v>
      </c>
      <c r="AA94" s="333">
        <v>-388.6</v>
      </c>
      <c r="AB94" s="334">
        <f t="shared" si="87"/>
        <v>22.8</v>
      </c>
      <c r="AC94" s="332">
        <v>475.18</v>
      </c>
      <c r="AD94" s="332">
        <v>478.8</v>
      </c>
      <c r="AE94" s="331">
        <f t="shared" si="88"/>
        <v>3.62</v>
      </c>
      <c r="AF94" s="332">
        <v>508.4</v>
      </c>
      <c r="AG94" s="332">
        <v>508.4</v>
      </c>
      <c r="AH94" s="331">
        <f t="shared" si="89"/>
        <v>1016.8</v>
      </c>
      <c r="AI94" s="331">
        <f t="shared" si="90"/>
        <v>0.0839226048</v>
      </c>
      <c r="AJ94" s="332">
        <v>7820.0</v>
      </c>
      <c r="AK94" s="331">
        <f t="shared" si="91"/>
        <v>656.2747695</v>
      </c>
      <c r="AL94" s="335"/>
      <c r="AM94" s="158"/>
      <c r="AN94" s="158"/>
      <c r="AO94" s="158"/>
    </row>
    <row r="95">
      <c r="B95" s="336"/>
      <c r="C95" s="331"/>
      <c r="D95" s="332" t="s">
        <v>294</v>
      </c>
      <c r="E95" s="331"/>
      <c r="F95" s="331"/>
      <c r="G95" s="331"/>
      <c r="H95" s="331"/>
      <c r="I95" s="331"/>
      <c r="J95" s="331"/>
      <c r="K95" s="331"/>
      <c r="L95" s="331"/>
      <c r="M95" s="331"/>
      <c r="N95" s="331">
        <f>SUM(N89:N94)</f>
        <v>0.5035356288</v>
      </c>
      <c r="O95" s="331"/>
      <c r="P95" s="331">
        <f>SUM(P89:P94)</f>
        <v>3937.648617</v>
      </c>
      <c r="Q95" s="335"/>
      <c r="S95" s="321"/>
      <c r="T95" s="321"/>
      <c r="U95" s="321"/>
      <c r="V95" s="321"/>
      <c r="W95" s="336"/>
      <c r="X95" s="331"/>
      <c r="Y95" s="332" t="s">
        <v>294</v>
      </c>
      <c r="Z95" s="331"/>
      <c r="AA95" s="331"/>
      <c r="AB95" s="331"/>
      <c r="AC95" s="331"/>
      <c r="AD95" s="331"/>
      <c r="AE95" s="331"/>
      <c r="AF95" s="331"/>
      <c r="AG95" s="331"/>
      <c r="AH95" s="331"/>
      <c r="AI95" s="331">
        <f>SUM(AI89:AI94)</f>
        <v>0.5035356288</v>
      </c>
      <c r="AJ95" s="331"/>
      <c r="AK95" s="331">
        <f>SUM(AK89:AK94)</f>
        <v>3937.648617</v>
      </c>
      <c r="AL95" s="335"/>
      <c r="AM95" s="158">
        <f>AI95+N95</f>
        <v>1.007071258</v>
      </c>
      <c r="AN95" s="158"/>
      <c r="AO95" s="158"/>
    </row>
    <row r="96">
      <c r="B96" s="336"/>
      <c r="C96" s="331"/>
      <c r="D96" s="331"/>
      <c r="E96" s="331"/>
      <c r="F96" s="331"/>
      <c r="G96" s="331"/>
      <c r="H96" s="331"/>
      <c r="I96" s="331"/>
      <c r="J96" s="331"/>
      <c r="K96" s="331"/>
      <c r="L96" s="331"/>
      <c r="M96" s="331"/>
      <c r="N96" s="331"/>
      <c r="O96" s="331"/>
      <c r="P96" s="331">
        <f>P95/1000</f>
        <v>3.937648617</v>
      </c>
      <c r="Q96" s="337" t="s">
        <v>371</v>
      </c>
      <c r="S96" s="321"/>
      <c r="T96" s="321"/>
      <c r="U96" s="321"/>
      <c r="V96" s="321"/>
      <c r="W96" s="336"/>
      <c r="X96" s="331"/>
      <c r="Y96" s="331"/>
      <c r="Z96" s="331"/>
      <c r="AA96" s="331"/>
      <c r="AB96" s="331"/>
      <c r="AC96" s="331"/>
      <c r="AD96" s="331"/>
      <c r="AE96" s="331"/>
      <c r="AF96" s="331"/>
      <c r="AG96" s="331"/>
      <c r="AH96" s="331"/>
      <c r="AI96" s="331"/>
      <c r="AJ96" s="331"/>
      <c r="AK96" s="331">
        <f>AK95/1000</f>
        <v>3.937648617</v>
      </c>
      <c r="AL96" s="337" t="s">
        <v>371</v>
      </c>
      <c r="AM96" s="307"/>
      <c r="AN96" s="307"/>
      <c r="AO96" s="307"/>
    </row>
    <row r="97">
      <c r="B97" s="336"/>
      <c r="C97" s="331"/>
      <c r="D97" s="331"/>
      <c r="E97" s="331"/>
      <c r="F97" s="331"/>
      <c r="G97" s="331"/>
      <c r="H97" s="331"/>
      <c r="I97" s="331"/>
      <c r="J97" s="331"/>
      <c r="K97" s="331"/>
      <c r="L97" s="331"/>
      <c r="M97" s="331"/>
      <c r="N97" s="331"/>
      <c r="O97" s="331"/>
      <c r="P97" s="331"/>
      <c r="Q97" s="337"/>
      <c r="S97" s="321"/>
      <c r="T97" s="321"/>
      <c r="U97" s="321"/>
      <c r="V97" s="321"/>
      <c r="W97" s="336"/>
      <c r="X97" s="331"/>
      <c r="Y97" s="331"/>
      <c r="Z97" s="331"/>
      <c r="AA97" s="331"/>
      <c r="AB97" s="331"/>
      <c r="AC97" s="331"/>
      <c r="AD97" s="331"/>
      <c r="AE97" s="331"/>
      <c r="AF97" s="331"/>
      <c r="AG97" s="331"/>
      <c r="AH97" s="331"/>
      <c r="AI97" s="331"/>
      <c r="AJ97" s="331"/>
      <c r="AK97" s="331"/>
      <c r="AL97" s="337"/>
      <c r="AM97" s="307"/>
      <c r="AN97" s="307"/>
      <c r="AO97" s="307"/>
    </row>
    <row r="98">
      <c r="B98" s="338" t="s">
        <v>330</v>
      </c>
      <c r="C98" s="332" t="s">
        <v>386</v>
      </c>
      <c r="D98" s="362" t="s">
        <v>431</v>
      </c>
      <c r="E98" s="332" t="s">
        <v>333</v>
      </c>
      <c r="F98" s="332" t="s">
        <v>334</v>
      </c>
      <c r="G98" s="332" t="s">
        <v>335</v>
      </c>
      <c r="H98" s="332" t="s">
        <v>336</v>
      </c>
      <c r="I98" s="332" t="s">
        <v>337</v>
      </c>
      <c r="J98" s="332" t="s">
        <v>338</v>
      </c>
      <c r="K98" s="332" t="s">
        <v>339</v>
      </c>
      <c r="L98" s="332" t="s">
        <v>340</v>
      </c>
      <c r="M98" s="332" t="s">
        <v>341</v>
      </c>
      <c r="N98" s="332" t="s">
        <v>235</v>
      </c>
      <c r="O98" s="332" t="s">
        <v>342</v>
      </c>
      <c r="P98" s="332" t="s">
        <v>229</v>
      </c>
      <c r="Q98" s="335"/>
      <c r="S98" s="321"/>
      <c r="T98" s="321"/>
      <c r="U98" s="321"/>
      <c r="V98" s="321"/>
      <c r="W98" s="338" t="s">
        <v>330</v>
      </c>
      <c r="X98" s="332" t="s">
        <v>386</v>
      </c>
      <c r="Y98" s="362" t="s">
        <v>431</v>
      </c>
      <c r="Z98" s="332" t="s">
        <v>333</v>
      </c>
      <c r="AA98" s="332" t="s">
        <v>334</v>
      </c>
      <c r="AB98" s="332" t="s">
        <v>335</v>
      </c>
      <c r="AC98" s="332" t="s">
        <v>336</v>
      </c>
      <c r="AD98" s="332" t="s">
        <v>337</v>
      </c>
      <c r="AE98" s="332" t="s">
        <v>338</v>
      </c>
      <c r="AF98" s="332" t="s">
        <v>339</v>
      </c>
      <c r="AG98" s="332" t="s">
        <v>340</v>
      </c>
      <c r="AH98" s="332" t="s">
        <v>341</v>
      </c>
      <c r="AI98" s="332" t="s">
        <v>235</v>
      </c>
      <c r="AJ98" s="332" t="s">
        <v>342</v>
      </c>
      <c r="AK98" s="332" t="s">
        <v>229</v>
      </c>
      <c r="AL98" s="335"/>
      <c r="AM98" s="158"/>
      <c r="AN98" s="158"/>
      <c r="AO98" s="158"/>
    </row>
    <row r="99">
      <c r="B99" s="330" t="s">
        <v>470</v>
      </c>
      <c r="C99" s="331"/>
      <c r="D99" s="332">
        <v>1.0</v>
      </c>
      <c r="E99" s="333">
        <v>-570.2</v>
      </c>
      <c r="F99" s="333">
        <v>-570.2</v>
      </c>
      <c r="G99" s="334">
        <f t="shared" ref="G99:G104" si="92">-E99-F99</f>
        <v>1140.4</v>
      </c>
      <c r="H99" s="332">
        <v>-537.8</v>
      </c>
      <c r="I99" s="332">
        <v>-535.0</v>
      </c>
      <c r="J99" s="331">
        <f t="shared" ref="J99:J104" si="93">I99-H99</f>
        <v>2.8</v>
      </c>
      <c r="K99" s="332">
        <v>-411.4</v>
      </c>
      <c r="L99" s="332">
        <v>-388.6</v>
      </c>
      <c r="M99" s="331">
        <f t="shared" ref="M99:M104" si="94">L99-K99</f>
        <v>22.8</v>
      </c>
      <c r="N99" s="331">
        <f t="shared" ref="N99:N104" si="95">(G99*J99*M99)/1000000</f>
        <v>0.072803136</v>
      </c>
      <c r="O99" s="332">
        <v>7820.0</v>
      </c>
      <c r="P99" s="331">
        <f t="shared" ref="P99:P104" si="96">N99*O99</f>
        <v>569.3205235</v>
      </c>
      <c r="Q99" s="335"/>
      <c r="S99" s="319" t="s">
        <v>388</v>
      </c>
      <c r="T99" s="319" t="s">
        <v>389</v>
      </c>
      <c r="W99" s="330" t="s">
        <v>471</v>
      </c>
      <c r="X99" s="331"/>
      <c r="Y99" s="332">
        <v>1.0</v>
      </c>
      <c r="Z99" s="333">
        <v>388.6</v>
      </c>
      <c r="AA99" s="333">
        <v>411.4</v>
      </c>
      <c r="AB99" s="334">
        <f t="shared" ref="AB99:AB104" si="97">AA99-Z99</f>
        <v>22.8</v>
      </c>
      <c r="AC99" s="332">
        <v>-537.8</v>
      </c>
      <c r="AD99" s="332">
        <v>-535.0</v>
      </c>
      <c r="AE99" s="331">
        <f t="shared" ref="AE99:AE104" si="98">AD99-AC99</f>
        <v>2.8</v>
      </c>
      <c r="AF99" s="333">
        <v>-570.2</v>
      </c>
      <c r="AG99" s="333">
        <v>-570.2</v>
      </c>
      <c r="AH99" s="334">
        <f t="shared" ref="AH99:AH104" si="99">-AF99-AG99</f>
        <v>1140.4</v>
      </c>
      <c r="AI99" s="331">
        <f t="shared" ref="AI99:AI104" si="100">(AB99*AE99*AH99)/1000000</f>
        <v>0.072803136</v>
      </c>
      <c r="AJ99" s="332">
        <v>7820.0</v>
      </c>
      <c r="AK99" s="331">
        <f t="shared" ref="AK99:AK104" si="101">AI99*AJ99</f>
        <v>569.3205235</v>
      </c>
      <c r="AL99" s="335"/>
      <c r="AM99" s="158"/>
      <c r="AN99" s="158"/>
      <c r="AO99" s="158"/>
    </row>
    <row r="100">
      <c r="B100" s="330" t="s">
        <v>472</v>
      </c>
      <c r="C100" s="331"/>
      <c r="D100" s="332">
        <v>2.0</v>
      </c>
      <c r="E100" s="333">
        <v>-570.2</v>
      </c>
      <c r="F100" s="333">
        <v>-570.2</v>
      </c>
      <c r="G100" s="334">
        <f t="shared" si="92"/>
        <v>1140.4</v>
      </c>
      <c r="H100" s="332">
        <v>-537.8</v>
      </c>
      <c r="I100" s="332">
        <v>-535.0</v>
      </c>
      <c r="J100" s="331">
        <f t="shared" si="93"/>
        <v>2.8</v>
      </c>
      <c r="K100" s="332">
        <v>-251.4</v>
      </c>
      <c r="L100" s="332">
        <v>-228.6</v>
      </c>
      <c r="M100" s="331">
        <f t="shared" si="94"/>
        <v>22.8</v>
      </c>
      <c r="N100" s="331">
        <f t="shared" si="95"/>
        <v>0.072803136</v>
      </c>
      <c r="O100" s="332">
        <v>7820.0</v>
      </c>
      <c r="P100" s="331">
        <f t="shared" si="96"/>
        <v>569.3205235</v>
      </c>
      <c r="Q100" s="335"/>
      <c r="S100" s="319" t="s">
        <v>391</v>
      </c>
      <c r="T100" s="319" t="s">
        <v>389</v>
      </c>
      <c r="W100" s="330" t="s">
        <v>473</v>
      </c>
      <c r="X100" s="331"/>
      <c r="Y100" s="332">
        <v>2.0</v>
      </c>
      <c r="Z100" s="333">
        <v>228.6</v>
      </c>
      <c r="AA100" s="333">
        <v>251.4</v>
      </c>
      <c r="AB100" s="334">
        <f t="shared" si="97"/>
        <v>22.8</v>
      </c>
      <c r="AC100" s="332">
        <v>-537.8</v>
      </c>
      <c r="AD100" s="332">
        <v>-535.0</v>
      </c>
      <c r="AE100" s="331">
        <f t="shared" si="98"/>
        <v>2.8</v>
      </c>
      <c r="AF100" s="333">
        <v>-570.2</v>
      </c>
      <c r="AG100" s="333">
        <v>-570.2</v>
      </c>
      <c r="AH100" s="334">
        <f t="shared" si="99"/>
        <v>1140.4</v>
      </c>
      <c r="AI100" s="331">
        <f t="shared" si="100"/>
        <v>0.072803136</v>
      </c>
      <c r="AJ100" s="332">
        <v>7820.0</v>
      </c>
      <c r="AK100" s="331">
        <f t="shared" si="101"/>
        <v>569.3205235</v>
      </c>
      <c r="AL100" s="335"/>
      <c r="AM100" s="158"/>
      <c r="AN100" s="158"/>
      <c r="AO100" s="158"/>
    </row>
    <row r="101">
      <c r="B101" s="330" t="s">
        <v>474</v>
      </c>
      <c r="C101" s="331"/>
      <c r="D101" s="332">
        <v>3.0</v>
      </c>
      <c r="E101" s="333">
        <v>-570.2</v>
      </c>
      <c r="F101" s="333">
        <v>-570.2</v>
      </c>
      <c r="G101" s="334">
        <f t="shared" si="92"/>
        <v>1140.4</v>
      </c>
      <c r="H101" s="332">
        <v>-537.8</v>
      </c>
      <c r="I101" s="332">
        <v>-535.0</v>
      </c>
      <c r="J101" s="331">
        <f t="shared" si="93"/>
        <v>2.8</v>
      </c>
      <c r="K101" s="332">
        <v>-91.4</v>
      </c>
      <c r="L101" s="332">
        <v>-68.6</v>
      </c>
      <c r="M101" s="331">
        <f t="shared" si="94"/>
        <v>22.8</v>
      </c>
      <c r="N101" s="331">
        <f t="shared" si="95"/>
        <v>0.072803136</v>
      </c>
      <c r="O101" s="332">
        <v>7820.0</v>
      </c>
      <c r="P101" s="331">
        <f t="shared" si="96"/>
        <v>569.3205235</v>
      </c>
      <c r="Q101" s="335"/>
      <c r="S101" s="319" t="s">
        <v>393</v>
      </c>
      <c r="T101" s="319" t="s">
        <v>389</v>
      </c>
      <c r="W101" s="330" t="s">
        <v>475</v>
      </c>
      <c r="X101" s="331"/>
      <c r="Y101" s="332">
        <v>3.0</v>
      </c>
      <c r="Z101" s="333">
        <v>68.6</v>
      </c>
      <c r="AA101" s="333">
        <v>91.4</v>
      </c>
      <c r="AB101" s="334">
        <f t="shared" si="97"/>
        <v>22.8</v>
      </c>
      <c r="AC101" s="332">
        <v>-537.8</v>
      </c>
      <c r="AD101" s="332">
        <v>-535.0</v>
      </c>
      <c r="AE101" s="331">
        <f t="shared" si="98"/>
        <v>2.8</v>
      </c>
      <c r="AF101" s="333">
        <v>-570.2</v>
      </c>
      <c r="AG101" s="333">
        <v>-570.2</v>
      </c>
      <c r="AH101" s="334">
        <f t="shared" si="99"/>
        <v>1140.4</v>
      </c>
      <c r="AI101" s="331">
        <f t="shared" si="100"/>
        <v>0.072803136</v>
      </c>
      <c r="AJ101" s="332">
        <v>7820.0</v>
      </c>
      <c r="AK101" s="331">
        <f t="shared" si="101"/>
        <v>569.3205235</v>
      </c>
      <c r="AL101" s="335"/>
      <c r="AM101" s="158"/>
      <c r="AN101" s="158"/>
      <c r="AO101" s="158"/>
    </row>
    <row r="102">
      <c r="B102" s="330" t="s">
        <v>476</v>
      </c>
      <c r="C102" s="331"/>
      <c r="D102" s="332">
        <v>4.0</v>
      </c>
      <c r="E102" s="333">
        <v>-570.2</v>
      </c>
      <c r="F102" s="333">
        <v>-570.2</v>
      </c>
      <c r="G102" s="334">
        <f t="shared" si="92"/>
        <v>1140.4</v>
      </c>
      <c r="H102" s="332">
        <v>-537.8</v>
      </c>
      <c r="I102" s="332">
        <v>-535.0</v>
      </c>
      <c r="J102" s="331">
        <f t="shared" si="93"/>
        <v>2.8</v>
      </c>
      <c r="K102" s="332">
        <v>68.6</v>
      </c>
      <c r="L102" s="332">
        <v>91.4</v>
      </c>
      <c r="M102" s="331">
        <f t="shared" si="94"/>
        <v>22.8</v>
      </c>
      <c r="N102" s="331">
        <f t="shared" si="95"/>
        <v>0.072803136</v>
      </c>
      <c r="O102" s="332">
        <v>7820.0</v>
      </c>
      <c r="P102" s="331">
        <f t="shared" si="96"/>
        <v>569.3205235</v>
      </c>
      <c r="Q102" s="335"/>
      <c r="S102" s="319" t="s">
        <v>395</v>
      </c>
      <c r="T102" s="319" t="s">
        <v>389</v>
      </c>
      <c r="W102" s="330" t="s">
        <v>477</v>
      </c>
      <c r="X102" s="331"/>
      <c r="Y102" s="332">
        <v>4.0</v>
      </c>
      <c r="Z102" s="333">
        <v>-91.4</v>
      </c>
      <c r="AA102" s="333">
        <v>-68.6</v>
      </c>
      <c r="AB102" s="334">
        <f t="shared" si="97"/>
        <v>22.8</v>
      </c>
      <c r="AC102" s="332">
        <v>-537.8</v>
      </c>
      <c r="AD102" s="332">
        <v>-535.0</v>
      </c>
      <c r="AE102" s="331">
        <f t="shared" si="98"/>
        <v>2.8</v>
      </c>
      <c r="AF102" s="333">
        <v>-570.2</v>
      </c>
      <c r="AG102" s="333">
        <v>-570.2</v>
      </c>
      <c r="AH102" s="334">
        <f t="shared" si="99"/>
        <v>1140.4</v>
      </c>
      <c r="AI102" s="331">
        <f t="shared" si="100"/>
        <v>0.072803136</v>
      </c>
      <c r="AJ102" s="332">
        <v>7820.0</v>
      </c>
      <c r="AK102" s="331">
        <f t="shared" si="101"/>
        <v>569.3205235</v>
      </c>
      <c r="AL102" s="335"/>
      <c r="AM102" s="158"/>
      <c r="AN102" s="158"/>
      <c r="AO102" s="158"/>
    </row>
    <row r="103">
      <c r="B103" s="330" t="s">
        <v>478</v>
      </c>
      <c r="C103" s="331"/>
      <c r="D103" s="332">
        <v>5.0</v>
      </c>
      <c r="E103" s="333">
        <v>-570.2</v>
      </c>
      <c r="F103" s="333">
        <v>-570.2</v>
      </c>
      <c r="G103" s="334">
        <f t="shared" si="92"/>
        <v>1140.4</v>
      </c>
      <c r="H103" s="332">
        <v>-537.8</v>
      </c>
      <c r="I103" s="332">
        <v>-535.0</v>
      </c>
      <c r="J103" s="331">
        <f t="shared" si="93"/>
        <v>2.8</v>
      </c>
      <c r="K103" s="332">
        <v>228.6</v>
      </c>
      <c r="L103" s="332">
        <v>251.4</v>
      </c>
      <c r="M103" s="331">
        <f t="shared" si="94"/>
        <v>22.8</v>
      </c>
      <c r="N103" s="331">
        <f t="shared" si="95"/>
        <v>0.072803136</v>
      </c>
      <c r="O103" s="332">
        <v>7820.0</v>
      </c>
      <c r="P103" s="331">
        <f t="shared" si="96"/>
        <v>569.3205235</v>
      </c>
      <c r="Q103" s="335"/>
      <c r="S103" s="319" t="s">
        <v>397</v>
      </c>
      <c r="T103" s="319" t="s">
        <v>389</v>
      </c>
      <c r="W103" s="330" t="s">
        <v>479</v>
      </c>
      <c r="X103" s="331"/>
      <c r="Y103" s="332">
        <v>5.0</v>
      </c>
      <c r="Z103" s="333">
        <v>-252.1</v>
      </c>
      <c r="AA103" s="333">
        <v>-229.3</v>
      </c>
      <c r="AB103" s="334">
        <f t="shared" si="97"/>
        <v>22.8</v>
      </c>
      <c r="AC103" s="332">
        <v>-537.8</v>
      </c>
      <c r="AD103" s="332">
        <v>-535.0</v>
      </c>
      <c r="AE103" s="331">
        <f t="shared" si="98"/>
        <v>2.8</v>
      </c>
      <c r="AF103" s="333">
        <v>-570.2</v>
      </c>
      <c r="AG103" s="333">
        <v>-570.2</v>
      </c>
      <c r="AH103" s="334">
        <f t="shared" si="99"/>
        <v>1140.4</v>
      </c>
      <c r="AI103" s="331">
        <f t="shared" si="100"/>
        <v>0.072803136</v>
      </c>
      <c r="AJ103" s="332">
        <v>7820.0</v>
      </c>
      <c r="AK103" s="331">
        <f t="shared" si="101"/>
        <v>569.3205235</v>
      </c>
      <c r="AL103" s="335"/>
      <c r="AM103" s="158"/>
      <c r="AN103" s="158"/>
      <c r="AO103" s="158"/>
    </row>
    <row r="104">
      <c r="B104" s="330" t="s">
        <v>480</v>
      </c>
      <c r="C104" s="331"/>
      <c r="D104" s="332">
        <v>6.0</v>
      </c>
      <c r="E104" s="333">
        <v>-570.2</v>
      </c>
      <c r="F104" s="333">
        <v>-570.2</v>
      </c>
      <c r="G104" s="334">
        <f t="shared" si="92"/>
        <v>1140.4</v>
      </c>
      <c r="H104" s="332">
        <v>-537.8</v>
      </c>
      <c r="I104" s="332">
        <v>-535.0</v>
      </c>
      <c r="J104" s="331">
        <f t="shared" si="93"/>
        <v>2.8</v>
      </c>
      <c r="K104" s="332">
        <v>388.6</v>
      </c>
      <c r="L104" s="332">
        <v>411.4</v>
      </c>
      <c r="M104" s="331">
        <f t="shared" si="94"/>
        <v>22.8</v>
      </c>
      <c r="N104" s="331">
        <f t="shared" si="95"/>
        <v>0.072803136</v>
      </c>
      <c r="O104" s="332">
        <v>7820.0</v>
      </c>
      <c r="P104" s="331">
        <f t="shared" si="96"/>
        <v>569.3205235</v>
      </c>
      <c r="Q104" s="335"/>
      <c r="S104" s="319" t="s">
        <v>399</v>
      </c>
      <c r="T104" s="319" t="s">
        <v>389</v>
      </c>
      <c r="W104" s="330" t="s">
        <v>481</v>
      </c>
      <c r="X104" s="331"/>
      <c r="Y104" s="332">
        <v>6.0</v>
      </c>
      <c r="Z104" s="333">
        <v>-411.4</v>
      </c>
      <c r="AA104" s="333">
        <v>-388.6</v>
      </c>
      <c r="AB104" s="334">
        <f t="shared" si="97"/>
        <v>22.8</v>
      </c>
      <c r="AC104" s="332">
        <v>-537.8</v>
      </c>
      <c r="AD104" s="332">
        <v>-535.0</v>
      </c>
      <c r="AE104" s="331">
        <f t="shared" si="98"/>
        <v>2.8</v>
      </c>
      <c r="AF104" s="333">
        <v>-570.2</v>
      </c>
      <c r="AG104" s="333">
        <v>-570.2</v>
      </c>
      <c r="AH104" s="334">
        <f t="shared" si="99"/>
        <v>1140.4</v>
      </c>
      <c r="AI104" s="331">
        <f t="shared" si="100"/>
        <v>0.072803136</v>
      </c>
      <c r="AJ104" s="332">
        <v>7820.0</v>
      </c>
      <c r="AK104" s="331">
        <f t="shared" si="101"/>
        <v>569.3205235</v>
      </c>
      <c r="AL104" s="335"/>
      <c r="AM104" s="158"/>
      <c r="AN104" s="158"/>
      <c r="AO104" s="158"/>
    </row>
    <row r="105">
      <c r="B105" s="336"/>
      <c r="C105" s="331"/>
      <c r="D105" s="332" t="s">
        <v>294</v>
      </c>
      <c r="E105" s="331"/>
      <c r="F105" s="331"/>
      <c r="G105" s="331"/>
      <c r="H105" s="331"/>
      <c r="I105" s="331"/>
      <c r="J105" s="331"/>
      <c r="K105" s="331"/>
      <c r="L105" s="331"/>
      <c r="M105" s="331"/>
      <c r="N105" s="331">
        <f>SUM(N99:N104)</f>
        <v>0.436818816</v>
      </c>
      <c r="O105" s="331"/>
      <c r="P105" s="331">
        <f>SUM(P99:P104)</f>
        <v>3415.923141</v>
      </c>
      <c r="Q105" s="335"/>
      <c r="S105" s="321"/>
      <c r="T105" s="321"/>
      <c r="U105" s="321"/>
      <c r="V105" s="321"/>
      <c r="W105" s="336"/>
      <c r="X105" s="331"/>
      <c r="Y105" s="332" t="s">
        <v>294</v>
      </c>
      <c r="Z105" s="331"/>
      <c r="AA105" s="331"/>
      <c r="AB105" s="331"/>
      <c r="AC105" s="331"/>
      <c r="AD105" s="331"/>
      <c r="AE105" s="331"/>
      <c r="AF105" s="331"/>
      <c r="AG105" s="331"/>
      <c r="AH105" s="331"/>
      <c r="AI105" s="331">
        <f>SUM(AI99:AI104)</f>
        <v>0.436818816</v>
      </c>
      <c r="AJ105" s="331"/>
      <c r="AK105" s="331">
        <f>SUM(AK99:AK104)</f>
        <v>3415.923141</v>
      </c>
      <c r="AL105" s="335"/>
      <c r="AM105" s="158">
        <f>AI105+N105</f>
        <v>0.873637632</v>
      </c>
      <c r="AN105" s="158"/>
      <c r="AO105" s="158"/>
    </row>
    <row r="106">
      <c r="B106" s="339"/>
      <c r="C106" s="340"/>
      <c r="D106" s="340"/>
      <c r="E106" s="340"/>
      <c r="F106" s="340"/>
      <c r="G106" s="340"/>
      <c r="H106" s="340"/>
      <c r="I106" s="340"/>
      <c r="J106" s="340"/>
      <c r="K106" s="340"/>
      <c r="L106" s="340"/>
      <c r="M106" s="340"/>
      <c r="N106" s="340"/>
      <c r="O106" s="340"/>
      <c r="P106" s="340">
        <f>P105/1000</f>
        <v>3.415923141</v>
      </c>
      <c r="Q106" s="341" t="s">
        <v>371</v>
      </c>
      <c r="S106" s="321"/>
      <c r="T106" s="321"/>
      <c r="U106" s="321"/>
      <c r="V106" s="321"/>
      <c r="W106" s="339"/>
      <c r="X106" s="340"/>
      <c r="Y106" s="340"/>
      <c r="Z106" s="340"/>
      <c r="AA106" s="340"/>
      <c r="AB106" s="340"/>
      <c r="AC106" s="340"/>
      <c r="AD106" s="340"/>
      <c r="AE106" s="340"/>
      <c r="AF106" s="340"/>
      <c r="AG106" s="340"/>
      <c r="AH106" s="340"/>
      <c r="AI106" s="340"/>
      <c r="AJ106" s="340"/>
      <c r="AK106" s="340">
        <f>AK105/1000</f>
        <v>3.415923141</v>
      </c>
      <c r="AL106" s="341" t="s">
        <v>371</v>
      </c>
      <c r="AM106" s="307"/>
      <c r="AN106" s="307"/>
      <c r="AO106" s="307"/>
    </row>
    <row r="107">
      <c r="S107" s="321"/>
      <c r="T107" s="321"/>
      <c r="U107" s="321"/>
      <c r="V107" s="321"/>
      <c r="AM107" s="158"/>
      <c r="AN107" s="158"/>
      <c r="AO107" s="158"/>
    </row>
    <row r="108">
      <c r="B108" s="342" t="s">
        <v>330</v>
      </c>
      <c r="C108" s="343" t="s">
        <v>400</v>
      </c>
      <c r="D108" s="362" t="s">
        <v>431</v>
      </c>
      <c r="E108" s="343" t="s">
        <v>333</v>
      </c>
      <c r="F108" s="343" t="s">
        <v>334</v>
      </c>
      <c r="G108" s="343" t="s">
        <v>335</v>
      </c>
      <c r="H108" s="343" t="s">
        <v>336</v>
      </c>
      <c r="I108" s="343" t="s">
        <v>337</v>
      </c>
      <c r="J108" s="343" t="s">
        <v>338</v>
      </c>
      <c r="K108" s="343" t="s">
        <v>339</v>
      </c>
      <c r="L108" s="343" t="s">
        <v>340</v>
      </c>
      <c r="M108" s="343" t="s">
        <v>341</v>
      </c>
      <c r="N108" s="343" t="s">
        <v>235</v>
      </c>
      <c r="O108" s="343" t="s">
        <v>342</v>
      </c>
      <c r="P108" s="343" t="s">
        <v>229</v>
      </c>
      <c r="Q108" s="344"/>
      <c r="S108" s="319" t="s">
        <v>401</v>
      </c>
      <c r="T108" s="319" t="s">
        <v>402</v>
      </c>
      <c r="U108" s="321"/>
      <c r="V108" s="321"/>
      <c r="W108" s="342" t="s">
        <v>330</v>
      </c>
      <c r="X108" s="343" t="s">
        <v>400</v>
      </c>
      <c r="Y108" s="362" t="s">
        <v>431</v>
      </c>
      <c r="Z108" s="343" t="s">
        <v>333</v>
      </c>
      <c r="AA108" s="343" t="s">
        <v>334</v>
      </c>
      <c r="AB108" s="343" t="s">
        <v>335</v>
      </c>
      <c r="AC108" s="343" t="s">
        <v>336</v>
      </c>
      <c r="AD108" s="343" t="s">
        <v>337</v>
      </c>
      <c r="AE108" s="343" t="s">
        <v>338</v>
      </c>
      <c r="AF108" s="343" t="s">
        <v>339</v>
      </c>
      <c r="AG108" s="343" t="s">
        <v>340</v>
      </c>
      <c r="AH108" s="343" t="s">
        <v>341</v>
      </c>
      <c r="AI108" s="343" t="s">
        <v>235</v>
      </c>
      <c r="AJ108" s="343" t="s">
        <v>342</v>
      </c>
      <c r="AK108" s="343" t="s">
        <v>229</v>
      </c>
      <c r="AL108" s="344"/>
      <c r="AM108" s="158"/>
      <c r="AN108" s="158"/>
      <c r="AO108" s="158"/>
    </row>
    <row r="109">
      <c r="B109" s="345" t="s">
        <v>482</v>
      </c>
      <c r="C109" s="346"/>
      <c r="D109" s="347">
        <v>1.0</v>
      </c>
      <c r="E109" s="348">
        <v>567.4</v>
      </c>
      <c r="F109" s="348">
        <v>570.2</v>
      </c>
      <c r="G109" s="349">
        <f t="shared" ref="G109:G114" si="102">F109-E109</f>
        <v>2.8</v>
      </c>
      <c r="H109" s="347">
        <v>535.0</v>
      </c>
      <c r="I109" s="347">
        <v>535.0</v>
      </c>
      <c r="J109" s="346">
        <f t="shared" ref="J109:J114" si="103">I109+H109</f>
        <v>1070</v>
      </c>
      <c r="K109" s="347">
        <v>388.6</v>
      </c>
      <c r="L109" s="347">
        <v>411.4</v>
      </c>
      <c r="M109" s="346">
        <f t="shared" ref="M109:M114" si="104">L109-K109</f>
        <v>22.8</v>
      </c>
      <c r="N109" s="346">
        <f t="shared" ref="N109:N114" si="105">(G109*J109*M109)/1000000</f>
        <v>0.0683088</v>
      </c>
      <c r="O109" s="347">
        <v>7820.0</v>
      </c>
      <c r="P109" s="346">
        <f t="shared" ref="P109:P114" si="106">N109*O109</f>
        <v>534.174816</v>
      </c>
      <c r="Q109" s="350"/>
      <c r="S109" s="319" t="s">
        <v>404</v>
      </c>
      <c r="T109" s="319" t="s">
        <v>405</v>
      </c>
      <c r="W109" s="345" t="s">
        <v>483</v>
      </c>
      <c r="X109" s="346"/>
      <c r="Y109" s="347">
        <v>1.0</v>
      </c>
      <c r="Z109" s="348">
        <v>567.4</v>
      </c>
      <c r="AA109" s="348">
        <v>570.2</v>
      </c>
      <c r="AB109" s="349">
        <f t="shared" ref="AB109:AB114" si="107">AA109-Z109</f>
        <v>2.8</v>
      </c>
      <c r="AC109" s="347">
        <v>388.6</v>
      </c>
      <c r="AD109" s="347">
        <v>411.4</v>
      </c>
      <c r="AE109" s="346">
        <f t="shared" ref="AE109:AE114" si="108">AD109-AC109</f>
        <v>22.8</v>
      </c>
      <c r="AF109" s="347">
        <v>508.4</v>
      </c>
      <c r="AG109" s="347">
        <v>508.4</v>
      </c>
      <c r="AH109" s="346">
        <f t="shared" ref="AH109:AH114" si="109">SUM(AF109:AG109)</f>
        <v>1016.8</v>
      </c>
      <c r="AI109" s="346">
        <f t="shared" ref="AI109:AI114" si="110">(AB109*AE109*AH109)/1000000</f>
        <v>0.064912512</v>
      </c>
      <c r="AJ109" s="347">
        <v>7820.0</v>
      </c>
      <c r="AK109" s="346">
        <f t="shared" ref="AK109:AK114" si="111">AI109*AJ109</f>
        <v>507.6158438</v>
      </c>
      <c r="AL109" s="350"/>
      <c r="AM109" s="158"/>
      <c r="AN109" s="158"/>
      <c r="AO109" s="158"/>
    </row>
    <row r="110">
      <c r="B110" s="345" t="s">
        <v>484</v>
      </c>
      <c r="C110" s="346"/>
      <c r="D110" s="347">
        <v>2.0</v>
      </c>
      <c r="E110" s="348">
        <v>567.4</v>
      </c>
      <c r="F110" s="348">
        <v>570.2</v>
      </c>
      <c r="G110" s="349">
        <f t="shared" si="102"/>
        <v>2.8</v>
      </c>
      <c r="H110" s="347">
        <v>535.0</v>
      </c>
      <c r="I110" s="347">
        <v>535.0</v>
      </c>
      <c r="J110" s="346">
        <f t="shared" si="103"/>
        <v>1070</v>
      </c>
      <c r="K110" s="347">
        <v>228.6</v>
      </c>
      <c r="L110" s="347">
        <v>251.4</v>
      </c>
      <c r="M110" s="346">
        <f t="shared" si="104"/>
        <v>22.8</v>
      </c>
      <c r="N110" s="346">
        <f t="shared" si="105"/>
        <v>0.0683088</v>
      </c>
      <c r="O110" s="347">
        <v>7820.0</v>
      </c>
      <c r="P110" s="346">
        <f t="shared" si="106"/>
        <v>534.174816</v>
      </c>
      <c r="Q110" s="350"/>
      <c r="S110" s="319" t="s">
        <v>407</v>
      </c>
      <c r="T110" s="351" t="s">
        <v>405</v>
      </c>
      <c r="U110" s="321"/>
      <c r="V110" s="321"/>
      <c r="W110" s="345" t="s">
        <v>485</v>
      </c>
      <c r="X110" s="346"/>
      <c r="Y110" s="347">
        <v>2.0</v>
      </c>
      <c r="Z110" s="348">
        <v>567.4</v>
      </c>
      <c r="AA110" s="348">
        <v>570.2</v>
      </c>
      <c r="AB110" s="349">
        <f t="shared" si="107"/>
        <v>2.8</v>
      </c>
      <c r="AC110" s="347">
        <v>228.6</v>
      </c>
      <c r="AD110" s="347">
        <v>251.4</v>
      </c>
      <c r="AE110" s="346">
        <f t="shared" si="108"/>
        <v>22.8</v>
      </c>
      <c r="AF110" s="347">
        <v>508.4</v>
      </c>
      <c r="AG110" s="347">
        <v>508.4</v>
      </c>
      <c r="AH110" s="346">
        <f t="shared" si="109"/>
        <v>1016.8</v>
      </c>
      <c r="AI110" s="346">
        <f t="shared" si="110"/>
        <v>0.064912512</v>
      </c>
      <c r="AJ110" s="347">
        <v>7820.0</v>
      </c>
      <c r="AK110" s="346">
        <f t="shared" si="111"/>
        <v>507.6158438</v>
      </c>
      <c r="AL110" s="350"/>
      <c r="AM110" s="158"/>
      <c r="AN110" s="158"/>
      <c r="AO110" s="158"/>
    </row>
    <row r="111">
      <c r="B111" s="345" t="s">
        <v>486</v>
      </c>
      <c r="C111" s="346"/>
      <c r="D111" s="347">
        <v>3.0</v>
      </c>
      <c r="E111" s="348">
        <v>567.4</v>
      </c>
      <c r="F111" s="348">
        <v>570.2</v>
      </c>
      <c r="G111" s="349">
        <f t="shared" si="102"/>
        <v>2.8</v>
      </c>
      <c r="H111" s="347">
        <v>535.0</v>
      </c>
      <c r="I111" s="347">
        <v>535.0</v>
      </c>
      <c r="J111" s="346">
        <f t="shared" si="103"/>
        <v>1070</v>
      </c>
      <c r="K111" s="347">
        <v>68.6</v>
      </c>
      <c r="L111" s="347">
        <v>91.4</v>
      </c>
      <c r="M111" s="346">
        <f t="shared" si="104"/>
        <v>22.8</v>
      </c>
      <c r="N111" s="346">
        <f t="shared" si="105"/>
        <v>0.0683088</v>
      </c>
      <c r="O111" s="347">
        <v>7820.0</v>
      </c>
      <c r="P111" s="346">
        <f t="shared" si="106"/>
        <v>534.174816</v>
      </c>
      <c r="Q111" s="350"/>
      <c r="S111" s="319" t="s">
        <v>409</v>
      </c>
      <c r="T111" s="351" t="s">
        <v>405</v>
      </c>
      <c r="U111" s="321"/>
      <c r="V111" s="321"/>
      <c r="W111" s="345" t="s">
        <v>487</v>
      </c>
      <c r="X111" s="346"/>
      <c r="Y111" s="347">
        <v>3.0</v>
      </c>
      <c r="Z111" s="348">
        <v>567.4</v>
      </c>
      <c r="AA111" s="348">
        <v>570.2</v>
      </c>
      <c r="AB111" s="349">
        <f t="shared" si="107"/>
        <v>2.8</v>
      </c>
      <c r="AC111" s="347">
        <v>68.6</v>
      </c>
      <c r="AD111" s="347">
        <v>91.4</v>
      </c>
      <c r="AE111" s="346">
        <f t="shared" si="108"/>
        <v>22.8</v>
      </c>
      <c r="AF111" s="347">
        <v>508.4</v>
      </c>
      <c r="AG111" s="347">
        <v>508.4</v>
      </c>
      <c r="AH111" s="346">
        <f t="shared" si="109"/>
        <v>1016.8</v>
      </c>
      <c r="AI111" s="346">
        <f t="shared" si="110"/>
        <v>0.064912512</v>
      </c>
      <c r="AJ111" s="347">
        <v>7820.0</v>
      </c>
      <c r="AK111" s="346">
        <f t="shared" si="111"/>
        <v>507.6158438</v>
      </c>
      <c r="AL111" s="350"/>
      <c r="AM111" s="158"/>
      <c r="AN111" s="158"/>
      <c r="AO111" s="158"/>
    </row>
    <row r="112">
      <c r="B112" s="345" t="s">
        <v>488</v>
      </c>
      <c r="C112" s="346"/>
      <c r="D112" s="347">
        <v>4.0</v>
      </c>
      <c r="E112" s="348">
        <v>567.4</v>
      </c>
      <c r="F112" s="348">
        <v>570.2</v>
      </c>
      <c r="G112" s="349">
        <f t="shared" si="102"/>
        <v>2.8</v>
      </c>
      <c r="H112" s="347">
        <v>535.0</v>
      </c>
      <c r="I112" s="347">
        <v>535.0</v>
      </c>
      <c r="J112" s="346">
        <f t="shared" si="103"/>
        <v>1070</v>
      </c>
      <c r="K112" s="347">
        <v>-91.4</v>
      </c>
      <c r="L112" s="347">
        <v>-68.6</v>
      </c>
      <c r="M112" s="346">
        <f t="shared" si="104"/>
        <v>22.8</v>
      </c>
      <c r="N112" s="346">
        <f t="shared" si="105"/>
        <v>0.0683088</v>
      </c>
      <c r="O112" s="347">
        <v>7820.0</v>
      </c>
      <c r="P112" s="346">
        <f t="shared" si="106"/>
        <v>534.174816</v>
      </c>
      <c r="Q112" s="350"/>
      <c r="S112" s="319" t="s">
        <v>411</v>
      </c>
      <c r="T112" s="351" t="s">
        <v>405</v>
      </c>
      <c r="U112" s="321"/>
      <c r="V112" s="321"/>
      <c r="W112" s="345" t="s">
        <v>489</v>
      </c>
      <c r="X112" s="346"/>
      <c r="Y112" s="347">
        <v>4.0</v>
      </c>
      <c r="Z112" s="348">
        <v>567.4</v>
      </c>
      <c r="AA112" s="348">
        <v>570.2</v>
      </c>
      <c r="AB112" s="349">
        <f t="shared" si="107"/>
        <v>2.8</v>
      </c>
      <c r="AC112" s="347">
        <v>-91.4</v>
      </c>
      <c r="AD112" s="347">
        <v>-68.6</v>
      </c>
      <c r="AE112" s="346">
        <f t="shared" si="108"/>
        <v>22.8</v>
      </c>
      <c r="AF112" s="347">
        <v>508.4</v>
      </c>
      <c r="AG112" s="347">
        <v>508.4</v>
      </c>
      <c r="AH112" s="346">
        <f t="shared" si="109"/>
        <v>1016.8</v>
      </c>
      <c r="AI112" s="346">
        <f t="shared" si="110"/>
        <v>0.064912512</v>
      </c>
      <c r="AJ112" s="347">
        <v>7820.0</v>
      </c>
      <c r="AK112" s="346">
        <f t="shared" si="111"/>
        <v>507.6158438</v>
      </c>
      <c r="AL112" s="350"/>
      <c r="AM112" s="158"/>
      <c r="AN112" s="158"/>
      <c r="AO112" s="158"/>
    </row>
    <row r="113">
      <c r="B113" s="345" t="s">
        <v>490</v>
      </c>
      <c r="C113" s="346"/>
      <c r="D113" s="347">
        <v>5.0</v>
      </c>
      <c r="E113" s="348">
        <v>567.4</v>
      </c>
      <c r="F113" s="348">
        <v>570.2</v>
      </c>
      <c r="G113" s="349">
        <f t="shared" si="102"/>
        <v>2.8</v>
      </c>
      <c r="H113" s="347">
        <v>535.0</v>
      </c>
      <c r="I113" s="347">
        <v>535.0</v>
      </c>
      <c r="J113" s="346">
        <f t="shared" si="103"/>
        <v>1070</v>
      </c>
      <c r="K113" s="347">
        <v>-251.4</v>
      </c>
      <c r="L113" s="347">
        <v>-228.6</v>
      </c>
      <c r="M113" s="346">
        <f t="shared" si="104"/>
        <v>22.8</v>
      </c>
      <c r="N113" s="346">
        <f t="shared" si="105"/>
        <v>0.0683088</v>
      </c>
      <c r="O113" s="347">
        <v>7820.0</v>
      </c>
      <c r="P113" s="346">
        <f t="shared" si="106"/>
        <v>534.174816</v>
      </c>
      <c r="Q113" s="350"/>
      <c r="S113" s="319" t="s">
        <v>413</v>
      </c>
      <c r="T113" s="351" t="s">
        <v>405</v>
      </c>
      <c r="U113" s="321"/>
      <c r="V113" s="321"/>
      <c r="W113" s="345" t="s">
        <v>491</v>
      </c>
      <c r="X113" s="346"/>
      <c r="Y113" s="347">
        <v>5.0</v>
      </c>
      <c r="Z113" s="348">
        <v>567.4</v>
      </c>
      <c r="AA113" s="348">
        <v>570.2</v>
      </c>
      <c r="AB113" s="349">
        <f t="shared" si="107"/>
        <v>2.8</v>
      </c>
      <c r="AC113" s="347">
        <v>-252.1</v>
      </c>
      <c r="AD113" s="347">
        <v>-229.3</v>
      </c>
      <c r="AE113" s="346">
        <f t="shared" si="108"/>
        <v>22.8</v>
      </c>
      <c r="AF113" s="347">
        <v>508.4</v>
      </c>
      <c r="AG113" s="347">
        <v>508.4</v>
      </c>
      <c r="AH113" s="346">
        <f t="shared" si="109"/>
        <v>1016.8</v>
      </c>
      <c r="AI113" s="346">
        <f t="shared" si="110"/>
        <v>0.064912512</v>
      </c>
      <c r="AJ113" s="347">
        <v>7820.0</v>
      </c>
      <c r="AK113" s="346">
        <f t="shared" si="111"/>
        <v>507.6158438</v>
      </c>
      <c r="AL113" s="350"/>
      <c r="AM113" s="158"/>
      <c r="AN113" s="158"/>
      <c r="AO113" s="158"/>
    </row>
    <row r="114">
      <c r="B114" s="345" t="s">
        <v>492</v>
      </c>
      <c r="C114" s="346"/>
      <c r="D114" s="347">
        <v>6.0</v>
      </c>
      <c r="E114" s="348">
        <v>567.4</v>
      </c>
      <c r="F114" s="348">
        <v>570.2</v>
      </c>
      <c r="G114" s="349">
        <f t="shared" si="102"/>
        <v>2.8</v>
      </c>
      <c r="H114" s="347">
        <v>535.0</v>
      </c>
      <c r="I114" s="347">
        <v>535.0</v>
      </c>
      <c r="J114" s="346">
        <f t="shared" si="103"/>
        <v>1070</v>
      </c>
      <c r="K114" s="347">
        <v>-411.4</v>
      </c>
      <c r="L114" s="347">
        <v>-388.6</v>
      </c>
      <c r="M114" s="346">
        <f t="shared" si="104"/>
        <v>22.8</v>
      </c>
      <c r="N114" s="346">
        <f t="shared" si="105"/>
        <v>0.0683088</v>
      </c>
      <c r="O114" s="347">
        <v>7820.0</v>
      </c>
      <c r="P114" s="346">
        <f t="shared" si="106"/>
        <v>534.174816</v>
      </c>
      <c r="Q114" s="350"/>
      <c r="S114" s="319" t="s">
        <v>415</v>
      </c>
      <c r="T114" s="351" t="s">
        <v>405</v>
      </c>
      <c r="U114" s="321"/>
      <c r="V114" s="321"/>
      <c r="W114" s="345" t="s">
        <v>493</v>
      </c>
      <c r="X114" s="346"/>
      <c r="Y114" s="347">
        <v>6.0</v>
      </c>
      <c r="Z114" s="348">
        <v>567.4</v>
      </c>
      <c r="AA114" s="348">
        <v>570.2</v>
      </c>
      <c r="AB114" s="349">
        <f t="shared" si="107"/>
        <v>2.8</v>
      </c>
      <c r="AC114" s="347">
        <v>-411.4</v>
      </c>
      <c r="AD114" s="347">
        <v>-388.6</v>
      </c>
      <c r="AE114" s="346">
        <f t="shared" si="108"/>
        <v>22.8</v>
      </c>
      <c r="AF114" s="347">
        <v>508.4</v>
      </c>
      <c r="AG114" s="347">
        <v>508.4</v>
      </c>
      <c r="AH114" s="346">
        <f t="shared" si="109"/>
        <v>1016.8</v>
      </c>
      <c r="AI114" s="346">
        <f t="shared" si="110"/>
        <v>0.064912512</v>
      </c>
      <c r="AJ114" s="347">
        <v>7820.0</v>
      </c>
      <c r="AK114" s="346">
        <f t="shared" si="111"/>
        <v>507.6158438</v>
      </c>
      <c r="AL114" s="350"/>
      <c r="AM114" s="158"/>
      <c r="AN114" s="158"/>
      <c r="AO114" s="158"/>
    </row>
    <row r="115">
      <c r="B115" s="352"/>
      <c r="C115" s="346"/>
      <c r="D115" s="347" t="s">
        <v>294</v>
      </c>
      <c r="E115" s="346"/>
      <c r="F115" s="346"/>
      <c r="G115" s="346"/>
      <c r="H115" s="346"/>
      <c r="I115" s="346"/>
      <c r="J115" s="346"/>
      <c r="K115" s="346"/>
      <c r="L115" s="346"/>
      <c r="M115" s="346"/>
      <c r="N115" s="346">
        <f>SUM(N109:N114)</f>
        <v>0.4098528</v>
      </c>
      <c r="O115" s="346"/>
      <c r="P115" s="346">
        <f>SUM(P109:P114)</f>
        <v>3205.048896</v>
      </c>
      <c r="Q115" s="350"/>
      <c r="S115" s="321"/>
      <c r="T115" s="321"/>
      <c r="U115" s="321"/>
      <c r="V115" s="321"/>
      <c r="W115" s="352"/>
      <c r="X115" s="346"/>
      <c r="Y115" s="347" t="s">
        <v>294</v>
      </c>
      <c r="Z115" s="346"/>
      <c r="AA115" s="346"/>
      <c r="AB115" s="346"/>
      <c r="AC115" s="346"/>
      <c r="AD115" s="346"/>
      <c r="AE115" s="346"/>
      <c r="AF115" s="346"/>
      <c r="AG115" s="346"/>
      <c r="AH115" s="346"/>
      <c r="AI115" s="346">
        <f>SUM(AI109:AI114)</f>
        <v>0.389475072</v>
      </c>
      <c r="AJ115" s="346"/>
      <c r="AK115" s="346">
        <f>SUM(AK109:AK114)</f>
        <v>3045.695063</v>
      </c>
      <c r="AL115" s="350"/>
      <c r="AM115" s="158">
        <f>AI115+N115</f>
        <v>0.799327872</v>
      </c>
      <c r="AN115" s="158"/>
      <c r="AO115" s="158"/>
    </row>
    <row r="116">
      <c r="B116" s="352"/>
      <c r="C116" s="346"/>
      <c r="D116" s="346"/>
      <c r="E116" s="346"/>
      <c r="F116" s="346"/>
      <c r="G116" s="346"/>
      <c r="H116" s="346"/>
      <c r="I116" s="346"/>
      <c r="J116" s="346"/>
      <c r="K116" s="346"/>
      <c r="L116" s="346"/>
      <c r="M116" s="346"/>
      <c r="N116" s="346"/>
      <c r="O116" s="346"/>
      <c r="P116" s="346">
        <f>P115/1000</f>
        <v>3.205048896</v>
      </c>
      <c r="Q116" s="353" t="s">
        <v>371</v>
      </c>
      <c r="S116" s="321"/>
      <c r="T116" s="321"/>
      <c r="U116" s="321"/>
      <c r="V116" s="321"/>
      <c r="W116" s="352"/>
      <c r="X116" s="346"/>
      <c r="Y116" s="346"/>
      <c r="Z116" s="346"/>
      <c r="AA116" s="346"/>
      <c r="AB116" s="346"/>
      <c r="AC116" s="346"/>
      <c r="AD116" s="346"/>
      <c r="AE116" s="346"/>
      <c r="AF116" s="346"/>
      <c r="AG116" s="346"/>
      <c r="AH116" s="346"/>
      <c r="AI116" s="346"/>
      <c r="AJ116" s="346"/>
      <c r="AK116" s="346">
        <f>AK115/1000</f>
        <v>3.045695063</v>
      </c>
      <c r="AL116" s="353" t="s">
        <v>371</v>
      </c>
      <c r="AM116" s="307"/>
      <c r="AN116" s="307"/>
      <c r="AO116" s="307"/>
    </row>
    <row r="117">
      <c r="B117" s="352"/>
      <c r="C117" s="346"/>
      <c r="D117" s="346"/>
      <c r="E117" s="346"/>
      <c r="F117" s="346"/>
      <c r="G117" s="346"/>
      <c r="H117" s="346"/>
      <c r="I117" s="346"/>
      <c r="J117" s="346"/>
      <c r="K117" s="346"/>
      <c r="L117" s="346"/>
      <c r="M117" s="346"/>
      <c r="N117" s="346"/>
      <c r="O117" s="346"/>
      <c r="P117" s="346"/>
      <c r="Q117" s="353"/>
      <c r="S117" s="321"/>
      <c r="T117" s="321"/>
      <c r="U117" s="321"/>
      <c r="V117" s="321"/>
      <c r="W117" s="352"/>
      <c r="X117" s="346"/>
      <c r="Y117" s="346"/>
      <c r="Z117" s="346"/>
      <c r="AA117" s="346"/>
      <c r="AB117" s="346"/>
      <c r="AC117" s="346"/>
      <c r="AD117" s="346"/>
      <c r="AE117" s="346"/>
      <c r="AF117" s="346"/>
      <c r="AG117" s="346"/>
      <c r="AH117" s="346"/>
      <c r="AI117" s="346"/>
      <c r="AJ117" s="346"/>
      <c r="AK117" s="346"/>
      <c r="AL117" s="353"/>
      <c r="AM117" s="307"/>
      <c r="AN117" s="307"/>
      <c r="AO117" s="307"/>
    </row>
    <row r="118">
      <c r="B118" s="354" t="s">
        <v>330</v>
      </c>
      <c r="C118" s="347" t="s">
        <v>416</v>
      </c>
      <c r="D118" s="362" t="s">
        <v>431</v>
      </c>
      <c r="E118" s="347" t="s">
        <v>333</v>
      </c>
      <c r="F118" s="347" t="s">
        <v>334</v>
      </c>
      <c r="G118" s="347" t="s">
        <v>335</v>
      </c>
      <c r="H118" s="347" t="s">
        <v>336</v>
      </c>
      <c r="I118" s="347" t="s">
        <v>337</v>
      </c>
      <c r="J118" s="347" t="s">
        <v>338</v>
      </c>
      <c r="K118" s="347" t="s">
        <v>339</v>
      </c>
      <c r="L118" s="347" t="s">
        <v>340</v>
      </c>
      <c r="M118" s="347" t="s">
        <v>341</v>
      </c>
      <c r="N118" s="347" t="s">
        <v>235</v>
      </c>
      <c r="O118" s="347" t="s">
        <v>342</v>
      </c>
      <c r="P118" s="347" t="s">
        <v>229</v>
      </c>
      <c r="Q118" s="350"/>
      <c r="S118" s="321"/>
      <c r="T118" s="321"/>
      <c r="U118" s="321"/>
      <c r="V118" s="321"/>
      <c r="W118" s="354" t="s">
        <v>330</v>
      </c>
      <c r="X118" s="347" t="s">
        <v>416</v>
      </c>
      <c r="Y118" s="362" t="s">
        <v>431</v>
      </c>
      <c r="Z118" s="347" t="s">
        <v>333</v>
      </c>
      <c r="AA118" s="347" t="s">
        <v>334</v>
      </c>
      <c r="AB118" s="347" t="s">
        <v>335</v>
      </c>
      <c r="AC118" s="347" t="s">
        <v>336</v>
      </c>
      <c r="AD118" s="347" t="s">
        <v>337</v>
      </c>
      <c r="AE118" s="347" t="s">
        <v>338</v>
      </c>
      <c r="AF118" s="347" t="s">
        <v>339</v>
      </c>
      <c r="AG118" s="347" t="s">
        <v>340</v>
      </c>
      <c r="AH118" s="347" t="s">
        <v>341</v>
      </c>
      <c r="AI118" s="347" t="s">
        <v>235</v>
      </c>
      <c r="AJ118" s="347" t="s">
        <v>342</v>
      </c>
      <c r="AK118" s="347" t="s">
        <v>229</v>
      </c>
      <c r="AL118" s="350"/>
      <c r="AM118" s="158"/>
      <c r="AN118" s="158"/>
      <c r="AO118" s="158"/>
    </row>
    <row r="119">
      <c r="B119" s="345" t="s">
        <v>494</v>
      </c>
      <c r="C119" s="346"/>
      <c r="D119" s="347">
        <v>1.0</v>
      </c>
      <c r="E119" s="348">
        <v>570.2</v>
      </c>
      <c r="F119" s="348">
        <v>567.4</v>
      </c>
      <c r="G119" s="349">
        <f t="shared" ref="G119:G124" si="112">E119-F119</f>
        <v>2.8</v>
      </c>
      <c r="H119" s="347">
        <v>-535.0</v>
      </c>
      <c r="I119" s="347">
        <v>535.0</v>
      </c>
      <c r="J119" s="346">
        <f t="shared" ref="J119:J124" si="113">I119-H119</f>
        <v>1070</v>
      </c>
      <c r="K119" s="347">
        <v>388.6</v>
      </c>
      <c r="L119" s="347">
        <v>411.4</v>
      </c>
      <c r="M119" s="346">
        <f t="shared" ref="M119:M124" si="114">L119-K119</f>
        <v>22.8</v>
      </c>
      <c r="N119" s="346">
        <f t="shared" ref="N119:N124" si="115">(G119*J119*M119)/1000000</f>
        <v>0.0683088</v>
      </c>
      <c r="O119" s="347">
        <v>7820.0</v>
      </c>
      <c r="P119" s="346">
        <f t="shared" ref="P119:P124" si="116">N119*O119</f>
        <v>534.174816</v>
      </c>
      <c r="Q119" s="350"/>
      <c r="S119" s="319" t="s">
        <v>418</v>
      </c>
      <c r="T119" s="319" t="s">
        <v>419</v>
      </c>
      <c r="W119" s="345" t="s">
        <v>495</v>
      </c>
      <c r="X119" s="346"/>
      <c r="Y119" s="347">
        <v>1.0</v>
      </c>
      <c r="Z119" s="348">
        <v>570.2</v>
      </c>
      <c r="AA119" s="348">
        <v>567.4</v>
      </c>
      <c r="AB119" s="349">
        <f t="shared" ref="AB119:AB124" si="117">Z119-AA119</f>
        <v>2.8</v>
      </c>
      <c r="AC119" s="347">
        <v>388.6</v>
      </c>
      <c r="AD119" s="347">
        <v>411.4</v>
      </c>
      <c r="AE119" s="346">
        <f t="shared" ref="AE119:AE124" si="118">AD119-AC119</f>
        <v>22.8</v>
      </c>
      <c r="AF119" s="347">
        <v>508.4</v>
      </c>
      <c r="AG119" s="347">
        <v>508.4</v>
      </c>
      <c r="AH119" s="346">
        <f t="shared" ref="AH119:AH124" si="119">AG119+AF119</f>
        <v>1016.8</v>
      </c>
      <c r="AI119" s="346">
        <f t="shared" ref="AI119:AI124" si="120">(AB119*AE119*AH119)/1000000</f>
        <v>0.064912512</v>
      </c>
      <c r="AJ119" s="347">
        <v>7820.0</v>
      </c>
      <c r="AK119" s="346">
        <f t="shared" ref="AK119:AK124" si="121">AI119*AJ119</f>
        <v>507.6158438</v>
      </c>
      <c r="AL119" s="350"/>
      <c r="AM119" s="158"/>
      <c r="AN119" s="158"/>
      <c r="AO119" s="158"/>
    </row>
    <row r="120">
      <c r="B120" s="345" t="s">
        <v>496</v>
      </c>
      <c r="C120" s="346"/>
      <c r="D120" s="347">
        <v>2.0</v>
      </c>
      <c r="E120" s="348">
        <v>570.2</v>
      </c>
      <c r="F120" s="348">
        <v>567.4</v>
      </c>
      <c r="G120" s="349">
        <f t="shared" si="112"/>
        <v>2.8</v>
      </c>
      <c r="H120" s="347">
        <v>-535.0</v>
      </c>
      <c r="I120" s="347">
        <v>535.0</v>
      </c>
      <c r="J120" s="346">
        <f t="shared" si="113"/>
        <v>1070</v>
      </c>
      <c r="K120" s="347">
        <v>228.6</v>
      </c>
      <c r="L120" s="347">
        <v>251.4</v>
      </c>
      <c r="M120" s="346">
        <f t="shared" si="114"/>
        <v>22.8</v>
      </c>
      <c r="N120" s="346">
        <f t="shared" si="115"/>
        <v>0.0683088</v>
      </c>
      <c r="O120" s="347">
        <v>7820.0</v>
      </c>
      <c r="P120" s="346">
        <f t="shared" si="116"/>
        <v>534.174816</v>
      </c>
      <c r="Q120" s="350"/>
      <c r="S120" s="319" t="s">
        <v>421</v>
      </c>
      <c r="T120" s="319" t="s">
        <v>419</v>
      </c>
      <c r="W120" s="345" t="s">
        <v>497</v>
      </c>
      <c r="X120" s="346"/>
      <c r="Y120" s="347">
        <v>2.0</v>
      </c>
      <c r="Z120" s="348">
        <v>570.2</v>
      </c>
      <c r="AA120" s="348">
        <v>567.4</v>
      </c>
      <c r="AB120" s="349">
        <f t="shared" si="117"/>
        <v>2.8</v>
      </c>
      <c r="AC120" s="347">
        <v>228.6</v>
      </c>
      <c r="AD120" s="347">
        <v>251.4</v>
      </c>
      <c r="AE120" s="346">
        <f t="shared" si="118"/>
        <v>22.8</v>
      </c>
      <c r="AF120" s="347">
        <v>508.4</v>
      </c>
      <c r="AG120" s="347">
        <v>508.4</v>
      </c>
      <c r="AH120" s="346">
        <f t="shared" si="119"/>
        <v>1016.8</v>
      </c>
      <c r="AI120" s="346">
        <f t="shared" si="120"/>
        <v>0.064912512</v>
      </c>
      <c r="AJ120" s="347">
        <v>7820.0</v>
      </c>
      <c r="AK120" s="346">
        <f t="shared" si="121"/>
        <v>507.6158438</v>
      </c>
      <c r="AL120" s="350"/>
      <c r="AM120" s="158"/>
      <c r="AN120" s="158"/>
      <c r="AO120" s="158"/>
    </row>
    <row r="121">
      <c r="B121" s="345" t="s">
        <v>498</v>
      </c>
      <c r="C121" s="346"/>
      <c r="D121" s="347">
        <v>3.0</v>
      </c>
      <c r="E121" s="348">
        <v>570.2</v>
      </c>
      <c r="F121" s="348">
        <v>567.4</v>
      </c>
      <c r="G121" s="349">
        <f t="shared" si="112"/>
        <v>2.8</v>
      </c>
      <c r="H121" s="347">
        <v>-535.0</v>
      </c>
      <c r="I121" s="347">
        <v>535.0</v>
      </c>
      <c r="J121" s="346">
        <f t="shared" si="113"/>
        <v>1070</v>
      </c>
      <c r="K121" s="347">
        <v>68.6</v>
      </c>
      <c r="L121" s="347">
        <v>91.4</v>
      </c>
      <c r="M121" s="346">
        <f t="shared" si="114"/>
        <v>22.8</v>
      </c>
      <c r="N121" s="346">
        <f t="shared" si="115"/>
        <v>0.0683088</v>
      </c>
      <c r="O121" s="347">
        <v>7820.0</v>
      </c>
      <c r="P121" s="346">
        <f t="shared" si="116"/>
        <v>534.174816</v>
      </c>
      <c r="Q121" s="350"/>
      <c r="S121" s="319" t="s">
        <v>423</v>
      </c>
      <c r="T121" s="319" t="s">
        <v>419</v>
      </c>
      <c r="W121" s="345" t="s">
        <v>499</v>
      </c>
      <c r="X121" s="346"/>
      <c r="Y121" s="347">
        <v>3.0</v>
      </c>
      <c r="Z121" s="348">
        <v>570.2</v>
      </c>
      <c r="AA121" s="348">
        <v>567.4</v>
      </c>
      <c r="AB121" s="349">
        <f t="shared" si="117"/>
        <v>2.8</v>
      </c>
      <c r="AC121" s="347">
        <v>68.6</v>
      </c>
      <c r="AD121" s="347">
        <v>91.4</v>
      </c>
      <c r="AE121" s="346">
        <f t="shared" si="118"/>
        <v>22.8</v>
      </c>
      <c r="AF121" s="347">
        <v>508.4</v>
      </c>
      <c r="AG121" s="347">
        <v>508.4</v>
      </c>
      <c r="AH121" s="346">
        <f t="shared" si="119"/>
        <v>1016.8</v>
      </c>
      <c r="AI121" s="346">
        <f t="shared" si="120"/>
        <v>0.064912512</v>
      </c>
      <c r="AJ121" s="347">
        <v>7820.0</v>
      </c>
      <c r="AK121" s="346">
        <f t="shared" si="121"/>
        <v>507.6158438</v>
      </c>
      <c r="AL121" s="350"/>
      <c r="AM121" s="158"/>
      <c r="AN121" s="158"/>
      <c r="AO121" s="158"/>
    </row>
    <row r="122">
      <c r="B122" s="345" t="s">
        <v>500</v>
      </c>
      <c r="C122" s="346"/>
      <c r="D122" s="347">
        <v>4.0</v>
      </c>
      <c r="E122" s="348">
        <v>570.2</v>
      </c>
      <c r="F122" s="348">
        <v>567.4</v>
      </c>
      <c r="G122" s="349">
        <f t="shared" si="112"/>
        <v>2.8</v>
      </c>
      <c r="H122" s="347">
        <v>-535.0</v>
      </c>
      <c r="I122" s="347">
        <v>535.0</v>
      </c>
      <c r="J122" s="346">
        <f t="shared" si="113"/>
        <v>1070</v>
      </c>
      <c r="K122" s="347">
        <v>-91.4</v>
      </c>
      <c r="L122" s="347">
        <v>-68.6</v>
      </c>
      <c r="M122" s="346">
        <f t="shared" si="114"/>
        <v>22.8</v>
      </c>
      <c r="N122" s="346">
        <f t="shared" si="115"/>
        <v>0.0683088</v>
      </c>
      <c r="O122" s="347">
        <v>7820.0</v>
      </c>
      <c r="P122" s="346">
        <f t="shared" si="116"/>
        <v>534.174816</v>
      </c>
      <c r="Q122" s="350"/>
      <c r="S122" s="319" t="s">
        <v>425</v>
      </c>
      <c r="T122" s="319" t="s">
        <v>419</v>
      </c>
      <c r="W122" s="345" t="s">
        <v>501</v>
      </c>
      <c r="X122" s="346"/>
      <c r="Y122" s="347">
        <v>4.0</v>
      </c>
      <c r="Z122" s="348">
        <v>570.2</v>
      </c>
      <c r="AA122" s="348">
        <v>567.4</v>
      </c>
      <c r="AB122" s="349">
        <f t="shared" si="117"/>
        <v>2.8</v>
      </c>
      <c r="AC122" s="347">
        <v>-91.4</v>
      </c>
      <c r="AD122" s="347">
        <v>-68.6</v>
      </c>
      <c r="AE122" s="346">
        <f t="shared" si="118"/>
        <v>22.8</v>
      </c>
      <c r="AF122" s="347">
        <v>508.4</v>
      </c>
      <c r="AG122" s="347">
        <v>508.4</v>
      </c>
      <c r="AH122" s="346">
        <f t="shared" si="119"/>
        <v>1016.8</v>
      </c>
      <c r="AI122" s="346">
        <f t="shared" si="120"/>
        <v>0.064912512</v>
      </c>
      <c r="AJ122" s="347">
        <v>7820.0</v>
      </c>
      <c r="AK122" s="346">
        <f t="shared" si="121"/>
        <v>507.6158438</v>
      </c>
      <c r="AL122" s="350"/>
      <c r="AM122" s="158"/>
      <c r="AN122" s="158"/>
      <c r="AO122" s="158"/>
    </row>
    <row r="123">
      <c r="B123" s="345" t="s">
        <v>502</v>
      </c>
      <c r="C123" s="346"/>
      <c r="D123" s="347">
        <v>5.0</v>
      </c>
      <c r="E123" s="348">
        <v>570.2</v>
      </c>
      <c r="F123" s="348">
        <v>567.4</v>
      </c>
      <c r="G123" s="349">
        <f t="shared" si="112"/>
        <v>2.8</v>
      </c>
      <c r="H123" s="347">
        <v>-535.0</v>
      </c>
      <c r="I123" s="347">
        <v>535.0</v>
      </c>
      <c r="J123" s="346">
        <f t="shared" si="113"/>
        <v>1070</v>
      </c>
      <c r="K123" s="347">
        <v>-251.4</v>
      </c>
      <c r="L123" s="347">
        <v>-228.6</v>
      </c>
      <c r="M123" s="346">
        <f t="shared" si="114"/>
        <v>22.8</v>
      </c>
      <c r="N123" s="346">
        <f t="shared" si="115"/>
        <v>0.0683088</v>
      </c>
      <c r="O123" s="347">
        <v>7820.0</v>
      </c>
      <c r="P123" s="346">
        <f t="shared" si="116"/>
        <v>534.174816</v>
      </c>
      <c r="Q123" s="350"/>
      <c r="S123" s="319" t="s">
        <v>427</v>
      </c>
      <c r="T123" s="319" t="s">
        <v>419</v>
      </c>
      <c r="W123" s="345" t="s">
        <v>503</v>
      </c>
      <c r="X123" s="346"/>
      <c r="Y123" s="347">
        <v>5.0</v>
      </c>
      <c r="Z123" s="348">
        <v>570.2</v>
      </c>
      <c r="AA123" s="348">
        <v>567.4</v>
      </c>
      <c r="AB123" s="349">
        <f t="shared" si="117"/>
        <v>2.8</v>
      </c>
      <c r="AC123" s="347">
        <v>-252.1</v>
      </c>
      <c r="AD123" s="347">
        <v>-229.3</v>
      </c>
      <c r="AE123" s="346">
        <f t="shared" si="118"/>
        <v>22.8</v>
      </c>
      <c r="AF123" s="347">
        <v>508.4</v>
      </c>
      <c r="AG123" s="347">
        <v>508.4</v>
      </c>
      <c r="AH123" s="346">
        <f t="shared" si="119"/>
        <v>1016.8</v>
      </c>
      <c r="AI123" s="346">
        <f t="shared" si="120"/>
        <v>0.064912512</v>
      </c>
      <c r="AJ123" s="347">
        <v>7820.0</v>
      </c>
      <c r="AK123" s="346">
        <f t="shared" si="121"/>
        <v>507.6158438</v>
      </c>
      <c r="AL123" s="350"/>
      <c r="AM123" s="158"/>
      <c r="AN123" s="158"/>
      <c r="AO123" s="158"/>
    </row>
    <row r="124">
      <c r="B124" s="345" t="s">
        <v>504</v>
      </c>
      <c r="C124" s="346"/>
      <c r="D124" s="347">
        <v>6.0</v>
      </c>
      <c r="E124" s="348">
        <v>570.2</v>
      </c>
      <c r="F124" s="348">
        <v>567.4</v>
      </c>
      <c r="G124" s="349">
        <f t="shared" si="112"/>
        <v>2.8</v>
      </c>
      <c r="H124" s="347">
        <v>-535.0</v>
      </c>
      <c r="I124" s="347">
        <v>535.0</v>
      </c>
      <c r="J124" s="346">
        <f t="shared" si="113"/>
        <v>1070</v>
      </c>
      <c r="K124" s="347">
        <v>-411.4</v>
      </c>
      <c r="L124" s="347">
        <v>-388.6</v>
      </c>
      <c r="M124" s="346">
        <f t="shared" si="114"/>
        <v>22.8</v>
      </c>
      <c r="N124" s="346">
        <f t="shared" si="115"/>
        <v>0.0683088</v>
      </c>
      <c r="O124" s="347">
        <v>7820.0</v>
      </c>
      <c r="P124" s="346">
        <f t="shared" si="116"/>
        <v>534.174816</v>
      </c>
      <c r="Q124" s="350"/>
      <c r="S124" s="319" t="s">
        <v>429</v>
      </c>
      <c r="T124" s="319" t="s">
        <v>419</v>
      </c>
      <c r="W124" s="345" t="s">
        <v>505</v>
      </c>
      <c r="X124" s="346"/>
      <c r="Y124" s="347">
        <v>6.0</v>
      </c>
      <c r="Z124" s="348">
        <v>570.2</v>
      </c>
      <c r="AA124" s="348">
        <v>567.4</v>
      </c>
      <c r="AB124" s="349">
        <f t="shared" si="117"/>
        <v>2.8</v>
      </c>
      <c r="AC124" s="347">
        <v>-411.4</v>
      </c>
      <c r="AD124" s="347">
        <v>-388.6</v>
      </c>
      <c r="AE124" s="346">
        <f t="shared" si="118"/>
        <v>22.8</v>
      </c>
      <c r="AF124" s="347">
        <v>508.4</v>
      </c>
      <c r="AG124" s="347">
        <v>508.4</v>
      </c>
      <c r="AH124" s="346">
        <f t="shared" si="119"/>
        <v>1016.8</v>
      </c>
      <c r="AI124" s="346">
        <f t="shared" si="120"/>
        <v>0.064912512</v>
      </c>
      <c r="AJ124" s="347">
        <v>7820.0</v>
      </c>
      <c r="AK124" s="346">
        <f t="shared" si="121"/>
        <v>507.6158438</v>
      </c>
      <c r="AL124" s="350"/>
      <c r="AM124" s="158"/>
      <c r="AN124" s="158"/>
      <c r="AO124" s="158"/>
    </row>
    <row r="125">
      <c r="B125" s="352"/>
      <c r="C125" s="346"/>
      <c r="D125" s="347" t="s">
        <v>294</v>
      </c>
      <c r="E125" s="346"/>
      <c r="F125" s="346"/>
      <c r="G125" s="346"/>
      <c r="H125" s="346"/>
      <c r="I125" s="346"/>
      <c r="J125" s="346"/>
      <c r="K125" s="346"/>
      <c r="L125" s="346"/>
      <c r="M125" s="346"/>
      <c r="N125" s="346">
        <f>SUM(N119:N124)</f>
        <v>0.4098528</v>
      </c>
      <c r="O125" s="346"/>
      <c r="P125" s="346">
        <f>SUM(P119:P124)</f>
        <v>3205.048896</v>
      </c>
      <c r="Q125" s="350"/>
      <c r="S125" s="321"/>
      <c r="T125" s="321"/>
      <c r="U125" s="321"/>
      <c r="V125" s="321"/>
      <c r="W125" s="352"/>
      <c r="X125" s="346"/>
      <c r="Y125" s="347" t="s">
        <v>294</v>
      </c>
      <c r="Z125" s="346"/>
      <c r="AA125" s="346"/>
      <c r="AB125" s="346"/>
      <c r="AC125" s="346"/>
      <c r="AD125" s="346"/>
      <c r="AE125" s="346"/>
      <c r="AF125" s="346"/>
      <c r="AG125" s="346"/>
      <c r="AH125" s="346"/>
      <c r="AI125" s="346">
        <f>SUM(AI119:AI124)</f>
        <v>0.389475072</v>
      </c>
      <c r="AJ125" s="346"/>
      <c r="AK125" s="346">
        <f>SUM(AK119:AK124)</f>
        <v>3045.695063</v>
      </c>
      <c r="AL125" s="350"/>
      <c r="AM125" s="158">
        <f>AI125+N125</f>
        <v>0.799327872</v>
      </c>
      <c r="AN125" s="158"/>
      <c r="AO125" s="158"/>
    </row>
    <row r="126">
      <c r="B126" s="355"/>
      <c r="C126" s="356"/>
      <c r="D126" s="356"/>
      <c r="E126" s="356"/>
      <c r="F126" s="356"/>
      <c r="G126" s="356"/>
      <c r="H126" s="356"/>
      <c r="I126" s="356"/>
      <c r="J126" s="356"/>
      <c r="K126" s="356"/>
      <c r="L126" s="356"/>
      <c r="M126" s="356"/>
      <c r="N126" s="356"/>
      <c r="O126" s="356"/>
      <c r="P126" s="356">
        <f>P125/1000</f>
        <v>3.205048896</v>
      </c>
      <c r="Q126" s="357" t="s">
        <v>371</v>
      </c>
      <c r="S126" s="321"/>
      <c r="T126" s="321"/>
      <c r="U126" s="321"/>
      <c r="V126" s="321"/>
      <c r="W126" s="355"/>
      <c r="X126" s="356"/>
      <c r="Y126" s="356"/>
      <c r="Z126" s="356"/>
      <c r="AA126" s="356"/>
      <c r="AB126" s="356"/>
      <c r="AC126" s="356"/>
      <c r="AD126" s="356"/>
      <c r="AE126" s="356"/>
      <c r="AF126" s="356"/>
      <c r="AG126" s="356"/>
      <c r="AH126" s="356"/>
      <c r="AI126" s="356"/>
      <c r="AJ126" s="356"/>
      <c r="AK126" s="356">
        <f>AK125/1000</f>
        <v>3.045695063</v>
      </c>
      <c r="AL126" s="357" t="s">
        <v>371</v>
      </c>
      <c r="AM126" s="307">
        <f>SUM(AM125,AM115,AM105,AM95,AM85,AM75)</f>
        <v>5.125364122</v>
      </c>
      <c r="AN126" s="307"/>
      <c r="AO126" s="307"/>
    </row>
    <row r="127">
      <c r="AM127" s="158"/>
      <c r="AN127" s="158"/>
      <c r="AO127" s="158"/>
    </row>
    <row r="128">
      <c r="AM128" s="158"/>
      <c r="AN128" s="158"/>
      <c r="AO128" s="158"/>
    </row>
    <row r="129">
      <c r="AM129" s="158"/>
      <c r="AN129" s="158"/>
      <c r="AO129" s="158"/>
    </row>
    <row r="130">
      <c r="AM130" s="158"/>
      <c r="AN130" s="158"/>
      <c r="AO130" s="158"/>
    </row>
    <row r="131">
      <c r="AM131" s="158">
        <f>sum(AM139,AM149,AM159,AM169,AM179,AM189)</f>
        <v>3.669738783</v>
      </c>
      <c r="AN131" s="158"/>
      <c r="AO131" s="158"/>
    </row>
    <row r="132">
      <c r="B132" s="308" t="s">
        <v>330</v>
      </c>
      <c r="C132" s="309" t="s">
        <v>331</v>
      </c>
      <c r="D132" s="309" t="s">
        <v>506</v>
      </c>
      <c r="E132" s="309" t="s">
        <v>333</v>
      </c>
      <c r="F132" s="309" t="s">
        <v>334</v>
      </c>
      <c r="G132" s="309" t="s">
        <v>335</v>
      </c>
      <c r="H132" s="309" t="s">
        <v>336</v>
      </c>
      <c r="I132" s="309" t="s">
        <v>337</v>
      </c>
      <c r="J132" s="309" t="s">
        <v>338</v>
      </c>
      <c r="K132" s="309" t="s">
        <v>339</v>
      </c>
      <c r="L132" s="309" t="s">
        <v>340</v>
      </c>
      <c r="M132" s="309" t="s">
        <v>341</v>
      </c>
      <c r="N132" s="309" t="s">
        <v>235</v>
      </c>
      <c r="O132" s="309" t="s">
        <v>342</v>
      </c>
      <c r="P132" s="309" t="s">
        <v>229</v>
      </c>
      <c r="Q132" s="310"/>
      <c r="R132" s="311" t="s">
        <v>240</v>
      </c>
      <c r="W132" s="308" t="s">
        <v>330</v>
      </c>
      <c r="X132" s="309" t="s">
        <v>331</v>
      </c>
      <c r="Y132" s="362" t="s">
        <v>506</v>
      </c>
      <c r="Z132" s="309" t="s">
        <v>333</v>
      </c>
      <c r="AA132" s="309" t="s">
        <v>334</v>
      </c>
      <c r="AB132" s="309" t="s">
        <v>335</v>
      </c>
      <c r="AC132" s="309" t="s">
        <v>336</v>
      </c>
      <c r="AD132" s="309" t="s">
        <v>337</v>
      </c>
      <c r="AE132" s="309" t="s">
        <v>338</v>
      </c>
      <c r="AF132" s="309" t="s">
        <v>339</v>
      </c>
      <c r="AG132" s="309" t="s">
        <v>340</v>
      </c>
      <c r="AH132" s="309" t="s">
        <v>341</v>
      </c>
      <c r="AI132" s="309" t="s">
        <v>235</v>
      </c>
      <c r="AJ132" s="309" t="s">
        <v>342</v>
      </c>
      <c r="AK132" s="309" t="s">
        <v>229</v>
      </c>
      <c r="AL132" s="310"/>
      <c r="AM132" s="158"/>
      <c r="AN132" s="158"/>
      <c r="AO132" s="158"/>
    </row>
    <row r="133">
      <c r="B133" s="312" t="s">
        <v>507</v>
      </c>
      <c r="C133" s="313"/>
      <c r="D133" s="314">
        <v>1.0</v>
      </c>
      <c r="E133" s="314">
        <v>570.2</v>
      </c>
      <c r="F133" s="314">
        <v>570.2</v>
      </c>
      <c r="G133" s="315">
        <f t="shared" ref="G133:G138" si="122">SUM(E133:F133)</f>
        <v>1140.4</v>
      </c>
      <c r="H133" s="316">
        <v>411.4</v>
      </c>
      <c r="I133" s="316">
        <v>388.6</v>
      </c>
      <c r="J133" s="313">
        <f t="shared" ref="J133:J138" si="123">H133-I133</f>
        <v>22.8</v>
      </c>
      <c r="K133" s="316">
        <v>510.075</v>
      </c>
      <c r="L133" s="316">
        <v>511.2</v>
      </c>
      <c r="M133" s="313">
        <f t="shared" ref="M133:M138" si="124">L133-K133</f>
        <v>1.125</v>
      </c>
      <c r="N133" s="313">
        <f t="shared" ref="N133:N138" si="125">(G133*J133*M133)/1000000</f>
        <v>0.02925126</v>
      </c>
      <c r="O133" s="316">
        <v>7820.0</v>
      </c>
      <c r="P133" s="313">
        <f t="shared" ref="P133:P138" si="126">N133*O133</f>
        <v>228.7448532</v>
      </c>
      <c r="Q133" s="317"/>
      <c r="R133" s="318">
        <f>SUM(P140,P150,P160,P170,P180,P190,AK140,AK150,AK160,AK170,AK180,AK190)</f>
        <v>28.69735729</v>
      </c>
      <c r="S133" s="319" t="s">
        <v>432</v>
      </c>
      <c r="T133" s="319" t="s">
        <v>433</v>
      </c>
      <c r="W133" s="312" t="s">
        <v>508</v>
      </c>
      <c r="X133" s="313"/>
      <c r="Y133" s="314">
        <v>1.0</v>
      </c>
      <c r="Z133" s="314">
        <v>-411.4</v>
      </c>
      <c r="AA133" s="314">
        <v>-388.6</v>
      </c>
      <c r="AB133" s="315">
        <f t="shared" ref="AB133:AB138" si="127">AA133-Z133</f>
        <v>22.8</v>
      </c>
      <c r="AC133" s="316">
        <v>535.0</v>
      </c>
      <c r="AD133" s="316">
        <v>535.0</v>
      </c>
      <c r="AE133" s="313">
        <f t="shared" ref="AE133:AE138" si="128">AD133+AC133</f>
        <v>1070</v>
      </c>
      <c r="AF133" s="316">
        <v>510.075</v>
      </c>
      <c r="AG133" s="316">
        <v>511.2</v>
      </c>
      <c r="AH133" s="313">
        <f t="shared" ref="AH133:AH138" si="129">AG133-AF133</f>
        <v>1.125</v>
      </c>
      <c r="AI133" s="313">
        <f t="shared" ref="AI133:AI138" si="130">(AB133*AE133*AH133)/1000000</f>
        <v>0.0274455</v>
      </c>
      <c r="AJ133" s="316">
        <v>7820.0</v>
      </c>
      <c r="AK133" s="313">
        <f t="shared" ref="AK133:AK138" si="131">AI133*AJ133</f>
        <v>214.62381</v>
      </c>
      <c r="AL133" s="317"/>
      <c r="AM133" s="158"/>
      <c r="AN133" s="158"/>
      <c r="AO133" s="158"/>
    </row>
    <row r="134">
      <c r="B134" s="312" t="s">
        <v>509</v>
      </c>
      <c r="C134" s="313"/>
      <c r="D134" s="314">
        <v>2.0</v>
      </c>
      <c r="E134" s="314">
        <v>570.2</v>
      </c>
      <c r="F134" s="314">
        <v>570.2</v>
      </c>
      <c r="G134" s="315">
        <f t="shared" si="122"/>
        <v>1140.4</v>
      </c>
      <c r="H134" s="316">
        <v>251.4</v>
      </c>
      <c r="I134" s="316">
        <v>228.6</v>
      </c>
      <c r="J134" s="313">
        <f t="shared" si="123"/>
        <v>22.8</v>
      </c>
      <c r="K134" s="316">
        <v>510.075</v>
      </c>
      <c r="L134" s="316">
        <v>511.2</v>
      </c>
      <c r="M134" s="313">
        <f t="shared" si="124"/>
        <v>1.125</v>
      </c>
      <c r="N134" s="313">
        <f t="shared" si="125"/>
        <v>0.02925126</v>
      </c>
      <c r="O134" s="316">
        <v>7820.0</v>
      </c>
      <c r="P134" s="313">
        <f t="shared" si="126"/>
        <v>228.7448532</v>
      </c>
      <c r="Q134" s="317"/>
      <c r="S134" s="319" t="s">
        <v>435</v>
      </c>
      <c r="T134" s="319" t="s">
        <v>433</v>
      </c>
      <c r="W134" s="362" t="s">
        <v>510</v>
      </c>
      <c r="X134" s="313"/>
      <c r="Y134" s="314">
        <v>2.0</v>
      </c>
      <c r="Z134" s="314">
        <v>-251.4</v>
      </c>
      <c r="AA134" s="314">
        <v>-228.6</v>
      </c>
      <c r="AB134" s="315">
        <f t="shared" si="127"/>
        <v>22.8</v>
      </c>
      <c r="AC134" s="316">
        <v>535.0</v>
      </c>
      <c r="AD134" s="316">
        <v>535.0</v>
      </c>
      <c r="AE134" s="313">
        <f t="shared" si="128"/>
        <v>1070</v>
      </c>
      <c r="AF134" s="316">
        <v>510.075</v>
      </c>
      <c r="AG134" s="316">
        <v>511.2</v>
      </c>
      <c r="AH134" s="313">
        <f t="shared" si="129"/>
        <v>1.125</v>
      </c>
      <c r="AI134" s="313">
        <f t="shared" si="130"/>
        <v>0.0274455</v>
      </c>
      <c r="AJ134" s="316">
        <v>7820.0</v>
      </c>
      <c r="AK134" s="313">
        <f t="shared" si="131"/>
        <v>214.62381</v>
      </c>
      <c r="AL134" s="317"/>
      <c r="AM134" s="158"/>
      <c r="AN134" s="158"/>
      <c r="AO134" s="158"/>
    </row>
    <row r="135">
      <c r="B135" s="312" t="s">
        <v>511</v>
      </c>
      <c r="C135" s="313"/>
      <c r="D135" s="314">
        <v>3.0</v>
      </c>
      <c r="E135" s="314">
        <v>570.2</v>
      </c>
      <c r="F135" s="314">
        <v>570.2</v>
      </c>
      <c r="G135" s="315">
        <f t="shared" si="122"/>
        <v>1140.4</v>
      </c>
      <c r="H135" s="316">
        <v>91.4</v>
      </c>
      <c r="I135" s="316">
        <v>68.6</v>
      </c>
      <c r="J135" s="313">
        <f t="shared" si="123"/>
        <v>22.8</v>
      </c>
      <c r="K135" s="316">
        <v>510.075</v>
      </c>
      <c r="L135" s="316">
        <v>511.2</v>
      </c>
      <c r="M135" s="313">
        <f t="shared" si="124"/>
        <v>1.125</v>
      </c>
      <c r="N135" s="313">
        <f t="shared" si="125"/>
        <v>0.02925126</v>
      </c>
      <c r="O135" s="316">
        <v>7820.0</v>
      </c>
      <c r="P135" s="313">
        <f t="shared" si="126"/>
        <v>228.7448532</v>
      </c>
      <c r="Q135" s="317"/>
      <c r="S135" s="319" t="s">
        <v>437</v>
      </c>
      <c r="T135" s="319" t="s">
        <v>433</v>
      </c>
      <c r="W135" s="362" t="s">
        <v>512</v>
      </c>
      <c r="X135" s="313"/>
      <c r="Y135" s="314">
        <v>3.0</v>
      </c>
      <c r="Z135" s="314">
        <v>-91.4</v>
      </c>
      <c r="AA135" s="314">
        <v>-68.6</v>
      </c>
      <c r="AB135" s="315">
        <f t="shared" si="127"/>
        <v>22.8</v>
      </c>
      <c r="AC135" s="316">
        <v>535.0</v>
      </c>
      <c r="AD135" s="316">
        <v>535.0</v>
      </c>
      <c r="AE135" s="313">
        <f t="shared" si="128"/>
        <v>1070</v>
      </c>
      <c r="AF135" s="316">
        <v>510.075</v>
      </c>
      <c r="AG135" s="316">
        <v>511.2</v>
      </c>
      <c r="AH135" s="313">
        <f t="shared" si="129"/>
        <v>1.125</v>
      </c>
      <c r="AI135" s="313">
        <f t="shared" si="130"/>
        <v>0.0274455</v>
      </c>
      <c r="AJ135" s="316">
        <v>7820.0</v>
      </c>
      <c r="AK135" s="313">
        <f t="shared" si="131"/>
        <v>214.62381</v>
      </c>
      <c r="AL135" s="317"/>
      <c r="AM135" s="158"/>
      <c r="AN135" s="158"/>
      <c r="AO135" s="158"/>
    </row>
    <row r="136">
      <c r="B136" s="312" t="s">
        <v>513</v>
      </c>
      <c r="C136" s="313"/>
      <c r="D136" s="314">
        <v>4.0</v>
      </c>
      <c r="E136" s="314">
        <v>570.2</v>
      </c>
      <c r="F136" s="314">
        <v>570.2</v>
      </c>
      <c r="G136" s="315">
        <f t="shared" si="122"/>
        <v>1140.4</v>
      </c>
      <c r="H136" s="316">
        <v>-68.6</v>
      </c>
      <c r="I136" s="316">
        <v>-91.4</v>
      </c>
      <c r="J136" s="313">
        <f t="shared" si="123"/>
        <v>22.8</v>
      </c>
      <c r="K136" s="316">
        <v>510.075</v>
      </c>
      <c r="L136" s="316">
        <v>511.2</v>
      </c>
      <c r="M136" s="313">
        <f t="shared" si="124"/>
        <v>1.125</v>
      </c>
      <c r="N136" s="313">
        <f t="shared" si="125"/>
        <v>0.02925126</v>
      </c>
      <c r="O136" s="316">
        <v>7820.0</v>
      </c>
      <c r="P136" s="313">
        <f t="shared" si="126"/>
        <v>228.7448532</v>
      </c>
      <c r="Q136" s="317"/>
      <c r="S136" s="319" t="s">
        <v>439</v>
      </c>
      <c r="T136" s="319" t="s">
        <v>433</v>
      </c>
      <c r="W136" s="312" t="s">
        <v>514</v>
      </c>
      <c r="X136" s="313"/>
      <c r="Y136" s="314">
        <v>4.0</v>
      </c>
      <c r="Z136" s="314">
        <v>68.6</v>
      </c>
      <c r="AA136" s="314">
        <v>91.4</v>
      </c>
      <c r="AB136" s="315">
        <f t="shared" si="127"/>
        <v>22.8</v>
      </c>
      <c r="AC136" s="316">
        <v>535.0</v>
      </c>
      <c r="AD136" s="316">
        <v>535.0</v>
      </c>
      <c r="AE136" s="313">
        <f t="shared" si="128"/>
        <v>1070</v>
      </c>
      <c r="AF136" s="316">
        <v>510.075</v>
      </c>
      <c r="AG136" s="316">
        <v>511.2</v>
      </c>
      <c r="AH136" s="313">
        <f t="shared" si="129"/>
        <v>1.125</v>
      </c>
      <c r="AI136" s="313">
        <f t="shared" si="130"/>
        <v>0.0274455</v>
      </c>
      <c r="AJ136" s="316">
        <v>7820.0</v>
      </c>
      <c r="AK136" s="313">
        <f t="shared" si="131"/>
        <v>214.62381</v>
      </c>
      <c r="AL136" s="317"/>
      <c r="AM136" s="158"/>
      <c r="AN136" s="158"/>
      <c r="AO136" s="158"/>
    </row>
    <row r="137">
      <c r="B137" s="312" t="s">
        <v>515</v>
      </c>
      <c r="C137" s="313"/>
      <c r="D137" s="314">
        <v>5.0</v>
      </c>
      <c r="E137" s="314">
        <v>570.2</v>
      </c>
      <c r="F137" s="314">
        <v>570.2</v>
      </c>
      <c r="G137" s="315">
        <f t="shared" si="122"/>
        <v>1140.4</v>
      </c>
      <c r="H137" s="316">
        <v>-228.6</v>
      </c>
      <c r="I137" s="316">
        <v>-251.4</v>
      </c>
      <c r="J137" s="313">
        <f t="shared" si="123"/>
        <v>22.8</v>
      </c>
      <c r="K137" s="316">
        <v>510.075</v>
      </c>
      <c r="L137" s="316">
        <v>511.2</v>
      </c>
      <c r="M137" s="313">
        <f t="shared" si="124"/>
        <v>1.125</v>
      </c>
      <c r="N137" s="313">
        <f t="shared" si="125"/>
        <v>0.02925126</v>
      </c>
      <c r="O137" s="316">
        <v>7820.0</v>
      </c>
      <c r="P137" s="313">
        <f t="shared" si="126"/>
        <v>228.7448532</v>
      </c>
      <c r="Q137" s="317"/>
      <c r="S137" s="319" t="s">
        <v>441</v>
      </c>
      <c r="T137" s="319" t="s">
        <v>433</v>
      </c>
      <c r="W137" s="312" t="s">
        <v>516</v>
      </c>
      <c r="X137" s="313"/>
      <c r="Y137" s="314">
        <v>5.0</v>
      </c>
      <c r="Z137" s="314">
        <v>228.6</v>
      </c>
      <c r="AA137" s="314">
        <v>251.4</v>
      </c>
      <c r="AB137" s="315">
        <f t="shared" si="127"/>
        <v>22.8</v>
      </c>
      <c r="AC137" s="316">
        <v>535.0</v>
      </c>
      <c r="AD137" s="316">
        <v>535.0</v>
      </c>
      <c r="AE137" s="313">
        <f t="shared" si="128"/>
        <v>1070</v>
      </c>
      <c r="AF137" s="316">
        <v>510.075</v>
      </c>
      <c r="AG137" s="316">
        <v>511.2</v>
      </c>
      <c r="AH137" s="313">
        <f t="shared" si="129"/>
        <v>1.125</v>
      </c>
      <c r="AI137" s="313">
        <f t="shared" si="130"/>
        <v>0.0274455</v>
      </c>
      <c r="AJ137" s="316">
        <v>7820.0</v>
      </c>
      <c r="AK137" s="313">
        <f t="shared" si="131"/>
        <v>214.62381</v>
      </c>
      <c r="AL137" s="317"/>
      <c r="AM137" s="158"/>
      <c r="AN137" s="158"/>
      <c r="AO137" s="158"/>
    </row>
    <row r="138">
      <c r="B138" s="312" t="s">
        <v>517</v>
      </c>
      <c r="C138" s="313"/>
      <c r="D138" s="314">
        <v>6.0</v>
      </c>
      <c r="E138" s="314">
        <v>570.2</v>
      </c>
      <c r="F138" s="314">
        <v>570.2</v>
      </c>
      <c r="G138" s="315">
        <f t="shared" si="122"/>
        <v>1140.4</v>
      </c>
      <c r="H138" s="316">
        <v>-388.6</v>
      </c>
      <c r="I138" s="316">
        <v>-411.4</v>
      </c>
      <c r="J138" s="313">
        <f t="shared" si="123"/>
        <v>22.8</v>
      </c>
      <c r="K138" s="316">
        <v>510.075</v>
      </c>
      <c r="L138" s="316">
        <v>511.2</v>
      </c>
      <c r="M138" s="313">
        <f t="shared" si="124"/>
        <v>1.125</v>
      </c>
      <c r="N138" s="313">
        <f t="shared" si="125"/>
        <v>0.02925126</v>
      </c>
      <c r="O138" s="316">
        <v>7820.0</v>
      </c>
      <c r="P138" s="313">
        <f t="shared" si="126"/>
        <v>228.7448532</v>
      </c>
      <c r="Q138" s="317"/>
      <c r="S138" s="319" t="s">
        <v>443</v>
      </c>
      <c r="T138" s="319" t="s">
        <v>433</v>
      </c>
      <c r="W138" s="312" t="s">
        <v>518</v>
      </c>
      <c r="X138" s="313"/>
      <c r="Y138" s="314">
        <v>6.0</v>
      </c>
      <c r="Z138" s="314">
        <v>388.6</v>
      </c>
      <c r="AA138" s="314">
        <v>411.4</v>
      </c>
      <c r="AB138" s="315">
        <f t="shared" si="127"/>
        <v>22.8</v>
      </c>
      <c r="AC138" s="316">
        <v>535.0</v>
      </c>
      <c r="AD138" s="316">
        <v>535.0</v>
      </c>
      <c r="AE138" s="313">
        <f t="shared" si="128"/>
        <v>1070</v>
      </c>
      <c r="AF138" s="316">
        <v>510.075</v>
      </c>
      <c r="AG138" s="316">
        <v>511.2</v>
      </c>
      <c r="AH138" s="313">
        <f t="shared" si="129"/>
        <v>1.125</v>
      </c>
      <c r="AI138" s="313">
        <f t="shared" si="130"/>
        <v>0.0274455</v>
      </c>
      <c r="AJ138" s="316">
        <v>7820.0</v>
      </c>
      <c r="AK138" s="313">
        <f t="shared" si="131"/>
        <v>214.62381</v>
      </c>
      <c r="AL138" s="317"/>
      <c r="AM138" s="158"/>
      <c r="AN138" s="158"/>
      <c r="AO138" s="158"/>
    </row>
    <row r="139">
      <c r="B139" s="320"/>
      <c r="C139" s="313"/>
      <c r="D139" s="316" t="s">
        <v>294</v>
      </c>
      <c r="E139" s="313"/>
      <c r="F139" s="313"/>
      <c r="G139" s="313"/>
      <c r="H139" s="313"/>
      <c r="I139" s="313"/>
      <c r="J139" s="313"/>
      <c r="K139" s="313"/>
      <c r="L139" s="313"/>
      <c r="M139" s="313"/>
      <c r="N139" s="313">
        <f>SUM(N133:N138)</f>
        <v>0.17550756</v>
      </c>
      <c r="O139" s="313"/>
      <c r="P139" s="313">
        <f>SUM(P133:P138)</f>
        <v>1372.469119</v>
      </c>
      <c r="Q139" s="317"/>
      <c r="S139" s="321"/>
      <c r="T139" s="321"/>
      <c r="U139" s="321"/>
      <c r="V139" s="321"/>
      <c r="W139" s="320"/>
      <c r="X139" s="313"/>
      <c r="Y139" s="316" t="s">
        <v>294</v>
      </c>
      <c r="Z139" s="313"/>
      <c r="AA139" s="313"/>
      <c r="AB139" s="313"/>
      <c r="AC139" s="313"/>
      <c r="AD139" s="313"/>
      <c r="AE139" s="313"/>
      <c r="AF139" s="313"/>
      <c r="AG139" s="313"/>
      <c r="AH139" s="313"/>
      <c r="AI139" s="313">
        <f>SUM(AI133:AI138)</f>
        <v>0.164673</v>
      </c>
      <c r="AJ139" s="313"/>
      <c r="AK139" s="313">
        <f>SUM(AK133:AK138)</f>
        <v>1287.74286</v>
      </c>
      <c r="AL139" s="317"/>
      <c r="AM139" s="158">
        <f>AI139+N139</f>
        <v>0.34018056</v>
      </c>
      <c r="AN139" s="158"/>
      <c r="AO139" s="158"/>
    </row>
    <row r="140">
      <c r="B140" s="320"/>
      <c r="C140" s="313"/>
      <c r="D140" s="313"/>
      <c r="E140" s="313"/>
      <c r="F140" s="313"/>
      <c r="G140" s="313"/>
      <c r="H140" s="313"/>
      <c r="I140" s="313"/>
      <c r="J140" s="313"/>
      <c r="K140" s="313"/>
      <c r="L140" s="313"/>
      <c r="M140" s="313"/>
      <c r="N140" s="313"/>
      <c r="O140" s="313"/>
      <c r="P140" s="313">
        <f>P139/1000</f>
        <v>1.372469119</v>
      </c>
      <c r="Q140" s="322" t="s">
        <v>356</v>
      </c>
      <c r="R140" s="147">
        <f>P140*12*2</f>
        <v>32.93925886</v>
      </c>
      <c r="S140" s="321"/>
      <c r="T140" s="321"/>
      <c r="U140" s="321"/>
      <c r="V140" s="321"/>
      <c r="W140" s="320"/>
      <c r="X140" s="313"/>
      <c r="Y140" s="313"/>
      <c r="Z140" s="313"/>
      <c r="AA140" s="313"/>
      <c r="AB140" s="313"/>
      <c r="AC140" s="313"/>
      <c r="AD140" s="313"/>
      <c r="AE140" s="313"/>
      <c r="AF140" s="313"/>
      <c r="AG140" s="313"/>
      <c r="AH140" s="313"/>
      <c r="AI140" s="313"/>
      <c r="AJ140" s="313"/>
      <c r="AK140" s="313">
        <f>AK139/1000</f>
        <v>1.28774286</v>
      </c>
      <c r="AL140" s="322" t="s">
        <v>356</v>
      </c>
      <c r="AM140" s="307"/>
      <c r="AN140" s="307"/>
      <c r="AO140" s="307"/>
    </row>
    <row r="141">
      <c r="B141" s="320"/>
      <c r="C141" s="313"/>
      <c r="D141" s="313"/>
      <c r="E141" s="313"/>
      <c r="F141" s="313"/>
      <c r="G141" s="313"/>
      <c r="H141" s="313"/>
      <c r="I141" s="313"/>
      <c r="J141" s="313"/>
      <c r="K141" s="313"/>
      <c r="L141" s="313"/>
      <c r="M141" s="313"/>
      <c r="N141" s="313"/>
      <c r="O141" s="313"/>
      <c r="P141" s="313"/>
      <c r="Q141" s="322"/>
      <c r="R141" s="147">
        <f>N139*12*2</f>
        <v>4.21218144</v>
      </c>
      <c r="S141" s="321"/>
      <c r="T141" s="321"/>
      <c r="U141" s="321"/>
      <c r="V141" s="321"/>
      <c r="W141" s="320"/>
      <c r="X141" s="313"/>
      <c r="Y141" s="313"/>
      <c r="Z141" s="313"/>
      <c r="AA141" s="313"/>
      <c r="AB141" s="313"/>
      <c r="AC141" s="313"/>
      <c r="AD141" s="313"/>
      <c r="AE141" s="313"/>
      <c r="AF141" s="313"/>
      <c r="AG141" s="313"/>
      <c r="AH141" s="313"/>
      <c r="AI141" s="313"/>
      <c r="AJ141" s="313"/>
      <c r="AK141" s="313"/>
      <c r="AL141" s="322"/>
      <c r="AM141" s="307"/>
      <c r="AN141" s="307"/>
      <c r="AO141" s="307"/>
    </row>
    <row r="142">
      <c r="B142" s="323" t="s">
        <v>330</v>
      </c>
      <c r="C142" s="316" t="s">
        <v>357</v>
      </c>
      <c r="D142" s="362" t="s">
        <v>506</v>
      </c>
      <c r="E142" s="316" t="s">
        <v>333</v>
      </c>
      <c r="F142" s="316" t="s">
        <v>334</v>
      </c>
      <c r="G142" s="316" t="s">
        <v>335</v>
      </c>
      <c r="H142" s="316" t="s">
        <v>336</v>
      </c>
      <c r="I142" s="316" t="s">
        <v>337</v>
      </c>
      <c r="J142" s="316" t="s">
        <v>338</v>
      </c>
      <c r="K142" s="316" t="s">
        <v>339</v>
      </c>
      <c r="L142" s="316" t="s">
        <v>340</v>
      </c>
      <c r="M142" s="316" t="s">
        <v>341</v>
      </c>
      <c r="N142" s="316" t="s">
        <v>235</v>
      </c>
      <c r="O142" s="316" t="s">
        <v>342</v>
      </c>
      <c r="P142" s="316" t="s">
        <v>229</v>
      </c>
      <c r="Q142" s="317"/>
      <c r="S142" s="321"/>
      <c r="T142" s="321"/>
      <c r="U142" s="321"/>
      <c r="V142" s="321"/>
      <c r="W142" s="323" t="s">
        <v>330</v>
      </c>
      <c r="X142" s="316" t="s">
        <v>357</v>
      </c>
      <c r="Y142" s="362" t="s">
        <v>506</v>
      </c>
      <c r="Z142" s="316" t="s">
        <v>333</v>
      </c>
      <c r="AA142" s="316" t="s">
        <v>334</v>
      </c>
      <c r="AB142" s="316" t="s">
        <v>335</v>
      </c>
      <c r="AC142" s="316" t="s">
        <v>336</v>
      </c>
      <c r="AD142" s="316" t="s">
        <v>337</v>
      </c>
      <c r="AE142" s="316" t="s">
        <v>338</v>
      </c>
      <c r="AF142" s="316" t="s">
        <v>339</v>
      </c>
      <c r="AG142" s="316" t="s">
        <v>340</v>
      </c>
      <c r="AH142" s="316" t="s">
        <v>341</v>
      </c>
      <c r="AI142" s="316" t="s">
        <v>235</v>
      </c>
      <c r="AJ142" s="316" t="s">
        <v>342</v>
      </c>
      <c r="AK142" s="316" t="s">
        <v>229</v>
      </c>
      <c r="AL142" s="317"/>
      <c r="AM142" s="158"/>
      <c r="AN142" s="158"/>
      <c r="AO142" s="158"/>
    </row>
    <row r="143">
      <c r="B143" s="312" t="s">
        <v>519</v>
      </c>
      <c r="C143" s="313"/>
      <c r="D143" s="316">
        <v>1.0</v>
      </c>
      <c r="E143" s="316">
        <v>-511.2</v>
      </c>
      <c r="F143" s="316">
        <v>-509.025</v>
      </c>
      <c r="G143" s="315">
        <f t="shared" ref="G143:G148" si="132">F143-E143</f>
        <v>2.175</v>
      </c>
      <c r="H143" s="316">
        <v>388.6</v>
      </c>
      <c r="I143" s="316">
        <v>411.4</v>
      </c>
      <c r="J143" s="313">
        <f t="shared" ref="J143:J148" si="133">I143-H143</f>
        <v>22.8</v>
      </c>
      <c r="K143" s="316">
        <v>508.4</v>
      </c>
      <c r="L143" s="316">
        <v>508.4</v>
      </c>
      <c r="M143" s="313">
        <f t="shared" ref="M143:M148" si="134">L143+K143</f>
        <v>1016.8</v>
      </c>
      <c r="N143" s="313">
        <f t="shared" ref="N143:N148" si="135">(G143*J143*M143)/1000000</f>
        <v>0.050423112</v>
      </c>
      <c r="O143" s="316">
        <v>7820.0</v>
      </c>
      <c r="P143" s="313">
        <f t="shared" ref="P143:P148" si="136">N143*O143</f>
        <v>394.3087358</v>
      </c>
      <c r="Q143" s="317"/>
      <c r="S143" s="319" t="s">
        <v>358</v>
      </c>
      <c r="T143" s="363" t="s">
        <v>446</v>
      </c>
      <c r="W143" s="312" t="s">
        <v>520</v>
      </c>
      <c r="X143" s="313"/>
      <c r="Y143" s="314">
        <v>1.0</v>
      </c>
      <c r="Z143" s="314">
        <v>-411.4</v>
      </c>
      <c r="AA143" s="314">
        <v>-388.6</v>
      </c>
      <c r="AB143" s="315">
        <f t="shared" ref="AB143:AB148" si="137">AA143-Z143</f>
        <v>22.8</v>
      </c>
      <c r="AC143" s="316">
        <v>535.0</v>
      </c>
      <c r="AD143" s="316">
        <v>535.0</v>
      </c>
      <c r="AE143" s="313">
        <f t="shared" ref="AE143:AE148" si="138">AD143+AC143</f>
        <v>1070</v>
      </c>
      <c r="AF143" s="316">
        <v>-511.2</v>
      </c>
      <c r="AG143" s="316">
        <v>-509.025</v>
      </c>
      <c r="AH143" s="315">
        <f t="shared" ref="AH143:AH148" si="139">AG143-AF143</f>
        <v>2.175</v>
      </c>
      <c r="AI143" s="313">
        <f t="shared" ref="AI143:AI148" si="140">(AB143*AE143*AH143)/1000000</f>
        <v>0.0530613</v>
      </c>
      <c r="AJ143" s="316">
        <v>7820.0</v>
      </c>
      <c r="AK143" s="313">
        <f t="shared" ref="AK143:AK148" si="141">AI143*AJ143</f>
        <v>414.939366</v>
      </c>
      <c r="AL143" s="317"/>
      <c r="AM143" s="158"/>
      <c r="AN143" s="158"/>
      <c r="AO143" s="158"/>
    </row>
    <row r="144">
      <c r="B144" s="323" t="s">
        <v>521</v>
      </c>
      <c r="C144" s="313"/>
      <c r="D144" s="316">
        <v>2.0</v>
      </c>
      <c r="E144" s="316">
        <v>-511.2</v>
      </c>
      <c r="F144" s="316">
        <v>-509.025</v>
      </c>
      <c r="G144" s="315">
        <f t="shared" si="132"/>
        <v>2.175</v>
      </c>
      <c r="H144" s="316">
        <v>228.6</v>
      </c>
      <c r="I144" s="316">
        <v>251.4</v>
      </c>
      <c r="J144" s="313">
        <f t="shared" si="133"/>
        <v>22.8</v>
      </c>
      <c r="K144" s="316">
        <v>508.4</v>
      </c>
      <c r="L144" s="316">
        <v>508.4</v>
      </c>
      <c r="M144" s="313">
        <f t="shared" si="134"/>
        <v>1016.8</v>
      </c>
      <c r="N144" s="313">
        <f t="shared" si="135"/>
        <v>0.050423112</v>
      </c>
      <c r="O144" s="316">
        <v>7820.0</v>
      </c>
      <c r="P144" s="313">
        <f t="shared" si="136"/>
        <v>394.3087358</v>
      </c>
      <c r="Q144" s="317"/>
      <c r="S144" s="319" t="s">
        <v>361</v>
      </c>
      <c r="T144" s="363" t="s">
        <v>446</v>
      </c>
      <c r="W144" s="312" t="s">
        <v>522</v>
      </c>
      <c r="X144" s="313"/>
      <c r="Y144" s="314">
        <v>2.0</v>
      </c>
      <c r="Z144" s="314">
        <v>-251.4</v>
      </c>
      <c r="AA144" s="314">
        <v>-228.6</v>
      </c>
      <c r="AB144" s="315">
        <f t="shared" si="137"/>
        <v>22.8</v>
      </c>
      <c r="AC144" s="316">
        <v>535.0</v>
      </c>
      <c r="AD144" s="316">
        <v>535.0</v>
      </c>
      <c r="AE144" s="313">
        <f t="shared" si="138"/>
        <v>1070</v>
      </c>
      <c r="AF144" s="316">
        <v>-511.2</v>
      </c>
      <c r="AG144" s="316">
        <v>-509.025</v>
      </c>
      <c r="AH144" s="315">
        <f t="shared" si="139"/>
        <v>2.175</v>
      </c>
      <c r="AI144" s="313">
        <f t="shared" si="140"/>
        <v>0.0530613</v>
      </c>
      <c r="AJ144" s="316">
        <v>7820.0</v>
      </c>
      <c r="AK144" s="313">
        <f t="shared" si="141"/>
        <v>414.939366</v>
      </c>
      <c r="AL144" s="317"/>
      <c r="AM144" s="158"/>
      <c r="AN144" s="158"/>
      <c r="AO144" s="158"/>
    </row>
    <row r="145">
      <c r="B145" s="323" t="s">
        <v>523</v>
      </c>
      <c r="C145" s="313"/>
      <c r="D145" s="316">
        <v>3.0</v>
      </c>
      <c r="E145" s="316">
        <v>-511.2</v>
      </c>
      <c r="F145" s="316">
        <v>-509.025</v>
      </c>
      <c r="G145" s="315">
        <f t="shared" si="132"/>
        <v>2.175</v>
      </c>
      <c r="H145" s="316">
        <v>68.6</v>
      </c>
      <c r="I145" s="316">
        <v>91.4</v>
      </c>
      <c r="J145" s="313">
        <f t="shared" si="133"/>
        <v>22.8</v>
      </c>
      <c r="K145" s="316">
        <v>508.4</v>
      </c>
      <c r="L145" s="316">
        <v>508.4</v>
      </c>
      <c r="M145" s="313">
        <f t="shared" si="134"/>
        <v>1016.8</v>
      </c>
      <c r="N145" s="313">
        <f t="shared" si="135"/>
        <v>0.050423112</v>
      </c>
      <c r="O145" s="316">
        <v>7820.0</v>
      </c>
      <c r="P145" s="313">
        <f t="shared" si="136"/>
        <v>394.3087358</v>
      </c>
      <c r="Q145" s="317"/>
      <c r="S145" s="319" t="s">
        <v>363</v>
      </c>
      <c r="T145" s="363" t="s">
        <v>446</v>
      </c>
      <c r="W145" s="312" t="s">
        <v>524</v>
      </c>
      <c r="X145" s="313"/>
      <c r="Y145" s="314">
        <v>3.0</v>
      </c>
      <c r="Z145" s="314">
        <v>-91.4</v>
      </c>
      <c r="AA145" s="314">
        <v>-68.6</v>
      </c>
      <c r="AB145" s="315">
        <f t="shared" si="137"/>
        <v>22.8</v>
      </c>
      <c r="AC145" s="316">
        <v>535.0</v>
      </c>
      <c r="AD145" s="316">
        <v>535.0</v>
      </c>
      <c r="AE145" s="313">
        <f t="shared" si="138"/>
        <v>1070</v>
      </c>
      <c r="AF145" s="316">
        <v>-511.2</v>
      </c>
      <c r="AG145" s="316">
        <v>-509.025</v>
      </c>
      <c r="AH145" s="315">
        <f t="shared" si="139"/>
        <v>2.175</v>
      </c>
      <c r="AI145" s="313">
        <f t="shared" si="140"/>
        <v>0.0530613</v>
      </c>
      <c r="AJ145" s="316">
        <v>7820.0</v>
      </c>
      <c r="AK145" s="313">
        <f t="shared" si="141"/>
        <v>414.939366</v>
      </c>
      <c r="AL145" s="317"/>
      <c r="AM145" s="158"/>
      <c r="AN145" s="158"/>
      <c r="AO145" s="158"/>
    </row>
    <row r="146">
      <c r="B146" s="323" t="s">
        <v>525</v>
      </c>
      <c r="C146" s="313"/>
      <c r="D146" s="316">
        <v>4.0</v>
      </c>
      <c r="E146" s="316">
        <v>-511.2</v>
      </c>
      <c r="F146" s="316">
        <v>-509.025</v>
      </c>
      <c r="G146" s="315">
        <f t="shared" si="132"/>
        <v>2.175</v>
      </c>
      <c r="H146" s="316">
        <v>-91.4</v>
      </c>
      <c r="I146" s="316">
        <v>-68.6</v>
      </c>
      <c r="J146" s="313">
        <f t="shared" si="133"/>
        <v>22.8</v>
      </c>
      <c r="K146" s="316">
        <v>508.4</v>
      </c>
      <c r="L146" s="316">
        <v>508.4</v>
      </c>
      <c r="M146" s="313">
        <f t="shared" si="134"/>
        <v>1016.8</v>
      </c>
      <c r="N146" s="313">
        <f t="shared" si="135"/>
        <v>0.050423112</v>
      </c>
      <c r="O146" s="316">
        <v>7820.0</v>
      </c>
      <c r="P146" s="313">
        <f t="shared" si="136"/>
        <v>394.3087358</v>
      </c>
      <c r="Q146" s="317"/>
      <c r="S146" s="319" t="s">
        <v>365</v>
      </c>
      <c r="T146" s="363" t="s">
        <v>446</v>
      </c>
      <c r="W146" s="312" t="s">
        <v>526</v>
      </c>
      <c r="X146" s="313"/>
      <c r="Y146" s="314">
        <v>4.0</v>
      </c>
      <c r="Z146" s="314">
        <v>68.6</v>
      </c>
      <c r="AA146" s="314">
        <v>91.4</v>
      </c>
      <c r="AB146" s="315">
        <f t="shared" si="137"/>
        <v>22.8</v>
      </c>
      <c r="AC146" s="316">
        <v>535.0</v>
      </c>
      <c r="AD146" s="316">
        <v>535.0</v>
      </c>
      <c r="AE146" s="313">
        <f t="shared" si="138"/>
        <v>1070</v>
      </c>
      <c r="AF146" s="316">
        <v>-511.2</v>
      </c>
      <c r="AG146" s="316">
        <v>-509.025</v>
      </c>
      <c r="AH146" s="315">
        <f t="shared" si="139"/>
        <v>2.175</v>
      </c>
      <c r="AI146" s="313">
        <f t="shared" si="140"/>
        <v>0.0530613</v>
      </c>
      <c r="AJ146" s="316">
        <v>7820.0</v>
      </c>
      <c r="AK146" s="313">
        <f t="shared" si="141"/>
        <v>414.939366</v>
      </c>
      <c r="AL146" s="317"/>
      <c r="AM146" s="158"/>
      <c r="AN146" s="158"/>
      <c r="AO146" s="158"/>
    </row>
    <row r="147">
      <c r="B147" s="323" t="s">
        <v>527</v>
      </c>
      <c r="C147" s="313"/>
      <c r="D147" s="316">
        <v>5.0</v>
      </c>
      <c r="E147" s="316">
        <v>-511.2</v>
      </c>
      <c r="F147" s="316">
        <v>-509.025</v>
      </c>
      <c r="G147" s="315">
        <f t="shared" si="132"/>
        <v>2.175</v>
      </c>
      <c r="H147" s="316">
        <v>-251.4</v>
      </c>
      <c r="I147" s="316">
        <v>-228.6</v>
      </c>
      <c r="J147" s="313">
        <f t="shared" si="133"/>
        <v>22.8</v>
      </c>
      <c r="K147" s="316">
        <v>508.4</v>
      </c>
      <c r="L147" s="316">
        <v>508.4</v>
      </c>
      <c r="M147" s="313">
        <f t="shared" si="134"/>
        <v>1016.8</v>
      </c>
      <c r="N147" s="313">
        <f t="shared" si="135"/>
        <v>0.050423112</v>
      </c>
      <c r="O147" s="316">
        <v>7820.0</v>
      </c>
      <c r="P147" s="313">
        <f t="shared" si="136"/>
        <v>394.3087358</v>
      </c>
      <c r="Q147" s="317"/>
      <c r="S147" s="319" t="s">
        <v>367</v>
      </c>
      <c r="T147" s="363" t="s">
        <v>446</v>
      </c>
      <c r="W147" s="312" t="s">
        <v>528</v>
      </c>
      <c r="X147" s="313"/>
      <c r="Y147" s="314">
        <v>5.0</v>
      </c>
      <c r="Z147" s="314">
        <v>228.6</v>
      </c>
      <c r="AA147" s="314">
        <v>251.4</v>
      </c>
      <c r="AB147" s="315">
        <f t="shared" si="137"/>
        <v>22.8</v>
      </c>
      <c r="AC147" s="316">
        <v>535.0</v>
      </c>
      <c r="AD147" s="316">
        <v>535.0</v>
      </c>
      <c r="AE147" s="313">
        <f t="shared" si="138"/>
        <v>1070</v>
      </c>
      <c r="AF147" s="316">
        <v>-511.2</v>
      </c>
      <c r="AG147" s="316">
        <v>-509.025</v>
      </c>
      <c r="AH147" s="315">
        <f t="shared" si="139"/>
        <v>2.175</v>
      </c>
      <c r="AI147" s="313">
        <f t="shared" si="140"/>
        <v>0.0530613</v>
      </c>
      <c r="AJ147" s="316">
        <v>7820.0</v>
      </c>
      <c r="AK147" s="313">
        <f t="shared" si="141"/>
        <v>414.939366</v>
      </c>
      <c r="AL147" s="317"/>
      <c r="AM147" s="158"/>
      <c r="AN147" s="158"/>
      <c r="AO147" s="158"/>
    </row>
    <row r="148">
      <c r="B148" s="323" t="s">
        <v>529</v>
      </c>
      <c r="C148" s="313"/>
      <c r="D148" s="316">
        <v>6.0</v>
      </c>
      <c r="E148" s="316">
        <v>-511.2</v>
      </c>
      <c r="F148" s="316">
        <v>-509.025</v>
      </c>
      <c r="G148" s="315">
        <f t="shared" si="132"/>
        <v>2.175</v>
      </c>
      <c r="H148" s="316">
        <v>-411.4</v>
      </c>
      <c r="I148" s="316">
        <v>-388.6</v>
      </c>
      <c r="J148" s="313">
        <f t="shared" si="133"/>
        <v>22.8</v>
      </c>
      <c r="K148" s="316">
        <v>508.4</v>
      </c>
      <c r="L148" s="316">
        <v>508.4</v>
      </c>
      <c r="M148" s="313">
        <f t="shared" si="134"/>
        <v>1016.8</v>
      </c>
      <c r="N148" s="313">
        <f t="shared" si="135"/>
        <v>0.050423112</v>
      </c>
      <c r="O148" s="316">
        <v>7820.0</v>
      </c>
      <c r="P148" s="313">
        <f t="shared" si="136"/>
        <v>394.3087358</v>
      </c>
      <c r="Q148" s="317"/>
      <c r="S148" s="319" t="s">
        <v>369</v>
      </c>
      <c r="T148" s="363" t="s">
        <v>446</v>
      </c>
      <c r="U148" s="319"/>
      <c r="V148" s="319"/>
      <c r="W148" s="312" t="s">
        <v>530</v>
      </c>
      <c r="X148" s="313"/>
      <c r="Y148" s="314">
        <v>6.0</v>
      </c>
      <c r="Z148" s="314">
        <v>388.6</v>
      </c>
      <c r="AA148" s="314">
        <v>411.4</v>
      </c>
      <c r="AB148" s="315">
        <f t="shared" si="137"/>
        <v>22.8</v>
      </c>
      <c r="AC148" s="316">
        <v>535.0</v>
      </c>
      <c r="AD148" s="316">
        <v>535.0</v>
      </c>
      <c r="AE148" s="313">
        <f t="shared" si="138"/>
        <v>1070</v>
      </c>
      <c r="AF148" s="316">
        <v>-511.2</v>
      </c>
      <c r="AG148" s="316">
        <v>-509.025</v>
      </c>
      <c r="AH148" s="315">
        <f t="shared" si="139"/>
        <v>2.175</v>
      </c>
      <c r="AI148" s="313">
        <f t="shared" si="140"/>
        <v>0.0530613</v>
      </c>
      <c r="AJ148" s="316">
        <v>7820.0</v>
      </c>
      <c r="AK148" s="313">
        <f t="shared" si="141"/>
        <v>414.939366</v>
      </c>
      <c r="AL148" s="317"/>
      <c r="AM148" s="158"/>
      <c r="AN148" s="158"/>
      <c r="AO148" s="158"/>
    </row>
    <row r="149">
      <c r="B149" s="320"/>
      <c r="C149" s="313"/>
      <c r="D149" s="316" t="s">
        <v>294</v>
      </c>
      <c r="E149" s="313"/>
      <c r="F149" s="313"/>
      <c r="G149" s="313"/>
      <c r="H149" s="313"/>
      <c r="I149" s="313"/>
      <c r="J149" s="313"/>
      <c r="K149" s="313"/>
      <c r="L149" s="313"/>
      <c r="M149" s="313"/>
      <c r="N149" s="313">
        <f>SUM(N143:N148)</f>
        <v>0.302538672</v>
      </c>
      <c r="O149" s="313"/>
      <c r="P149" s="313">
        <f>SUM(P143:P148)</f>
        <v>2365.852415</v>
      </c>
      <c r="Q149" s="317"/>
      <c r="S149" s="321"/>
      <c r="T149" s="321"/>
      <c r="U149" s="321"/>
      <c r="V149" s="321"/>
      <c r="W149" s="320"/>
      <c r="X149" s="313"/>
      <c r="Y149" s="316" t="s">
        <v>294</v>
      </c>
      <c r="Z149" s="313"/>
      <c r="AA149" s="313"/>
      <c r="AB149" s="313"/>
      <c r="AC149" s="313"/>
      <c r="AD149" s="313"/>
      <c r="AE149" s="313"/>
      <c r="AF149" s="313"/>
      <c r="AG149" s="313"/>
      <c r="AH149" s="313"/>
      <c r="AI149" s="313">
        <f>SUM(AI143:AI148)</f>
        <v>0.3183678</v>
      </c>
      <c r="AJ149" s="313"/>
      <c r="AK149" s="313">
        <f>SUM(AK143:AK148)</f>
        <v>2489.636196</v>
      </c>
      <c r="AL149" s="317"/>
      <c r="AM149" s="158">
        <f>N149+AI149</f>
        <v>0.620906472</v>
      </c>
      <c r="AN149" s="158"/>
      <c r="AO149" s="158"/>
    </row>
    <row r="150">
      <c r="B150" s="324"/>
      <c r="C150" s="325"/>
      <c r="D150" s="325"/>
      <c r="E150" s="325"/>
      <c r="F150" s="325"/>
      <c r="G150" s="325"/>
      <c r="H150" s="325"/>
      <c r="I150" s="325"/>
      <c r="J150" s="325"/>
      <c r="K150" s="325"/>
      <c r="L150" s="325"/>
      <c r="M150" s="325"/>
      <c r="N150" s="325"/>
      <c r="O150" s="325"/>
      <c r="P150" s="325">
        <f>P149/1000</f>
        <v>2.365852415</v>
      </c>
      <c r="Q150" s="326" t="s">
        <v>371</v>
      </c>
      <c r="S150" s="321"/>
      <c r="T150" s="321"/>
      <c r="U150" s="321"/>
      <c r="V150" s="321"/>
      <c r="W150" s="324"/>
      <c r="X150" s="325"/>
      <c r="Y150" s="325"/>
      <c r="Z150" s="325"/>
      <c r="AA150" s="325"/>
      <c r="AB150" s="325"/>
      <c r="AC150" s="325"/>
      <c r="AD150" s="325"/>
      <c r="AE150" s="325"/>
      <c r="AF150" s="325"/>
      <c r="AG150" s="325"/>
      <c r="AH150" s="325"/>
      <c r="AI150" s="325"/>
      <c r="AJ150" s="325"/>
      <c r="AK150" s="325">
        <f>AK149/1000</f>
        <v>2.489636196</v>
      </c>
      <c r="AL150" s="326" t="s">
        <v>371</v>
      </c>
      <c r="AM150" s="307"/>
      <c r="AN150" s="307"/>
      <c r="AO150" s="307"/>
    </row>
    <row r="151">
      <c r="Q151" s="44"/>
      <c r="S151" s="321"/>
      <c r="T151" s="321"/>
      <c r="U151" s="321"/>
      <c r="V151" s="321"/>
      <c r="AM151" s="158"/>
      <c r="AN151" s="158"/>
      <c r="AO151" s="158"/>
    </row>
    <row r="152">
      <c r="B152" s="327" t="s">
        <v>330</v>
      </c>
      <c r="C152" s="328" t="s">
        <v>372</v>
      </c>
      <c r="D152" s="362" t="s">
        <v>506</v>
      </c>
      <c r="E152" s="328" t="s">
        <v>333</v>
      </c>
      <c r="F152" s="328" t="s">
        <v>334</v>
      </c>
      <c r="G152" s="328" t="s">
        <v>335</v>
      </c>
      <c r="H152" s="328" t="s">
        <v>336</v>
      </c>
      <c r="I152" s="328" t="s">
        <v>337</v>
      </c>
      <c r="J152" s="328" t="s">
        <v>338</v>
      </c>
      <c r="K152" s="328" t="s">
        <v>339</v>
      </c>
      <c r="L152" s="328" t="s">
        <v>340</v>
      </c>
      <c r="M152" s="328" t="s">
        <v>341</v>
      </c>
      <c r="N152" s="328" t="s">
        <v>235</v>
      </c>
      <c r="O152" s="328" t="s">
        <v>342</v>
      </c>
      <c r="P152" s="328" t="s">
        <v>229</v>
      </c>
      <c r="Q152" s="329"/>
      <c r="S152" s="321"/>
      <c r="T152" s="321"/>
      <c r="U152" s="321"/>
      <c r="V152" s="321"/>
      <c r="W152" s="327" t="s">
        <v>330</v>
      </c>
      <c r="X152" s="328" t="s">
        <v>372</v>
      </c>
      <c r="Y152" s="362" t="s">
        <v>506</v>
      </c>
      <c r="Z152" s="328" t="s">
        <v>333</v>
      </c>
      <c r="AA152" s="328" t="s">
        <v>334</v>
      </c>
      <c r="AB152" s="328" t="s">
        <v>335</v>
      </c>
      <c r="AC152" s="328" t="s">
        <v>336</v>
      </c>
      <c r="AD152" s="328" t="s">
        <v>337</v>
      </c>
      <c r="AE152" s="328" t="s">
        <v>338</v>
      </c>
      <c r="AF152" s="328" t="s">
        <v>339</v>
      </c>
      <c r="AG152" s="328" t="s">
        <v>340</v>
      </c>
      <c r="AH152" s="328" t="s">
        <v>341</v>
      </c>
      <c r="AI152" s="328" t="s">
        <v>235</v>
      </c>
      <c r="AJ152" s="328" t="s">
        <v>342</v>
      </c>
      <c r="AK152" s="328" t="s">
        <v>229</v>
      </c>
      <c r="AL152" s="329"/>
      <c r="AM152" s="158"/>
      <c r="AN152" s="158"/>
      <c r="AO152" s="158"/>
    </row>
    <row r="153">
      <c r="B153" s="330" t="s">
        <v>531</v>
      </c>
      <c r="C153" s="331"/>
      <c r="D153" s="332">
        <v>1.0</v>
      </c>
      <c r="E153" s="333">
        <v>570.2</v>
      </c>
      <c r="F153" s="333">
        <v>570.2</v>
      </c>
      <c r="G153" s="334">
        <v>1140.4</v>
      </c>
      <c r="H153" s="332">
        <v>535.0</v>
      </c>
      <c r="I153" s="332">
        <v>537.8</v>
      </c>
      <c r="J153" s="331">
        <f t="shared" ref="J153:J158" si="142">I153-H153</f>
        <v>2.8</v>
      </c>
      <c r="K153" s="332">
        <v>-411.4</v>
      </c>
      <c r="L153" s="332">
        <v>-388.6</v>
      </c>
      <c r="M153" s="331">
        <f t="shared" ref="M153:M158" si="143">L153-K153</f>
        <v>22.8</v>
      </c>
      <c r="N153" s="331">
        <f t="shared" ref="N153:N158" si="144">(G153*J153*M153)/1000000</f>
        <v>0.072803136</v>
      </c>
      <c r="O153" s="332">
        <v>7820.0</v>
      </c>
      <c r="P153" s="331">
        <f t="shared" ref="P153:P158" si="145">N153*O153</f>
        <v>569.3205235</v>
      </c>
      <c r="Q153" s="335"/>
      <c r="S153" s="319" t="s">
        <v>374</v>
      </c>
      <c r="T153" s="319" t="s">
        <v>375</v>
      </c>
      <c r="W153" s="330" t="s">
        <v>532</v>
      </c>
      <c r="X153" s="331"/>
      <c r="Y153" s="332">
        <v>1.0</v>
      </c>
      <c r="Z153" s="333">
        <v>388.6</v>
      </c>
      <c r="AA153" s="333">
        <v>411.4</v>
      </c>
      <c r="AB153" s="334">
        <f t="shared" ref="AB153:AB158" si="146">AA153-Z153</f>
        <v>22.8</v>
      </c>
      <c r="AC153" s="332">
        <v>535.0</v>
      </c>
      <c r="AD153" s="332">
        <v>537.8</v>
      </c>
      <c r="AE153" s="331">
        <f t="shared" ref="AE153:AE158" si="147">AD153-AC153</f>
        <v>2.8</v>
      </c>
      <c r="AF153" s="333">
        <v>570.2</v>
      </c>
      <c r="AG153" s="333">
        <v>570.2</v>
      </c>
      <c r="AH153" s="334">
        <v>1140.4</v>
      </c>
      <c r="AI153" s="331">
        <f t="shared" ref="AI153:AI158" si="148">(AB153*AE153*AH153)/1000000</f>
        <v>0.072803136</v>
      </c>
      <c r="AJ153" s="332">
        <v>7820.0</v>
      </c>
      <c r="AK153" s="331">
        <f t="shared" ref="AK153:AK158" si="149">AI153*AJ153</f>
        <v>569.3205235</v>
      </c>
      <c r="AL153" s="335"/>
      <c r="AM153" s="158"/>
      <c r="AN153" s="158"/>
      <c r="AO153" s="158"/>
    </row>
    <row r="154">
      <c r="B154" s="330" t="s">
        <v>533</v>
      </c>
      <c r="C154" s="331"/>
      <c r="D154" s="332">
        <v>2.0</v>
      </c>
      <c r="E154" s="333">
        <v>570.2</v>
      </c>
      <c r="F154" s="333">
        <v>570.2</v>
      </c>
      <c r="G154" s="334">
        <v>1140.4</v>
      </c>
      <c r="H154" s="332">
        <v>535.0</v>
      </c>
      <c r="I154" s="332">
        <v>537.8</v>
      </c>
      <c r="J154" s="331">
        <f t="shared" si="142"/>
        <v>2.8</v>
      </c>
      <c r="K154" s="332">
        <v>-251.4</v>
      </c>
      <c r="L154" s="332">
        <v>-228.6</v>
      </c>
      <c r="M154" s="331">
        <f t="shared" si="143"/>
        <v>22.8</v>
      </c>
      <c r="N154" s="331">
        <f t="shared" si="144"/>
        <v>0.072803136</v>
      </c>
      <c r="O154" s="332">
        <v>7820.0</v>
      </c>
      <c r="P154" s="331">
        <f t="shared" si="145"/>
        <v>569.3205235</v>
      </c>
      <c r="Q154" s="335"/>
      <c r="S154" s="319" t="s">
        <v>377</v>
      </c>
      <c r="T154" s="319" t="s">
        <v>375</v>
      </c>
      <c r="W154" s="330" t="s">
        <v>534</v>
      </c>
      <c r="X154" s="331"/>
      <c r="Y154" s="332">
        <v>2.0</v>
      </c>
      <c r="Z154" s="333">
        <v>228.6</v>
      </c>
      <c r="AA154" s="333">
        <v>251.4</v>
      </c>
      <c r="AB154" s="334">
        <f t="shared" si="146"/>
        <v>22.8</v>
      </c>
      <c r="AC154" s="332">
        <v>535.0</v>
      </c>
      <c r="AD154" s="332">
        <v>537.8</v>
      </c>
      <c r="AE154" s="331">
        <f t="shared" si="147"/>
        <v>2.8</v>
      </c>
      <c r="AF154" s="333">
        <v>570.2</v>
      </c>
      <c r="AG154" s="333">
        <v>570.2</v>
      </c>
      <c r="AH154" s="334">
        <v>1140.4</v>
      </c>
      <c r="AI154" s="331">
        <f t="shared" si="148"/>
        <v>0.072803136</v>
      </c>
      <c r="AJ154" s="332">
        <v>7820.0</v>
      </c>
      <c r="AK154" s="331">
        <f t="shared" si="149"/>
        <v>569.3205235</v>
      </c>
      <c r="AL154" s="335"/>
      <c r="AM154" s="158"/>
      <c r="AN154" s="158"/>
      <c r="AO154" s="158"/>
    </row>
    <row r="155">
      <c r="B155" s="330" t="s">
        <v>535</v>
      </c>
      <c r="C155" s="331"/>
      <c r="D155" s="332">
        <v>3.0</v>
      </c>
      <c r="E155" s="333">
        <v>570.2</v>
      </c>
      <c r="F155" s="333">
        <v>570.2</v>
      </c>
      <c r="G155" s="334">
        <v>1140.4</v>
      </c>
      <c r="H155" s="332">
        <v>535.0</v>
      </c>
      <c r="I155" s="332">
        <v>537.8</v>
      </c>
      <c r="J155" s="331">
        <f t="shared" si="142"/>
        <v>2.8</v>
      </c>
      <c r="K155" s="332">
        <v>-91.4</v>
      </c>
      <c r="L155" s="332">
        <v>-68.6</v>
      </c>
      <c r="M155" s="331">
        <f t="shared" si="143"/>
        <v>22.8</v>
      </c>
      <c r="N155" s="331">
        <f t="shared" si="144"/>
        <v>0.072803136</v>
      </c>
      <c r="O155" s="332">
        <v>7820.0</v>
      </c>
      <c r="P155" s="331">
        <f t="shared" si="145"/>
        <v>569.3205235</v>
      </c>
      <c r="Q155" s="335"/>
      <c r="S155" s="319" t="s">
        <v>379</v>
      </c>
      <c r="T155" s="319" t="s">
        <v>375</v>
      </c>
      <c r="W155" s="330" t="s">
        <v>536</v>
      </c>
      <c r="X155" s="331"/>
      <c r="Y155" s="332">
        <v>3.0</v>
      </c>
      <c r="Z155" s="333">
        <v>68.6</v>
      </c>
      <c r="AA155" s="333">
        <v>91.4</v>
      </c>
      <c r="AB155" s="334">
        <f t="shared" si="146"/>
        <v>22.8</v>
      </c>
      <c r="AC155" s="332">
        <v>535.0</v>
      </c>
      <c r="AD155" s="332">
        <v>537.8</v>
      </c>
      <c r="AE155" s="331">
        <f t="shared" si="147"/>
        <v>2.8</v>
      </c>
      <c r="AF155" s="333">
        <v>570.2</v>
      </c>
      <c r="AG155" s="333">
        <v>570.2</v>
      </c>
      <c r="AH155" s="334">
        <v>1140.4</v>
      </c>
      <c r="AI155" s="331">
        <f t="shared" si="148"/>
        <v>0.072803136</v>
      </c>
      <c r="AJ155" s="332">
        <v>7820.0</v>
      </c>
      <c r="AK155" s="331">
        <f t="shared" si="149"/>
        <v>569.3205235</v>
      </c>
      <c r="AL155" s="335"/>
      <c r="AM155" s="158"/>
      <c r="AN155" s="158"/>
      <c r="AO155" s="158"/>
    </row>
    <row r="156">
      <c r="B156" s="330" t="s">
        <v>537</v>
      </c>
      <c r="C156" s="331"/>
      <c r="D156" s="332">
        <v>4.0</v>
      </c>
      <c r="E156" s="333">
        <v>570.2</v>
      </c>
      <c r="F156" s="333">
        <v>570.2</v>
      </c>
      <c r="G156" s="334">
        <v>1140.4</v>
      </c>
      <c r="H156" s="332">
        <v>535.0</v>
      </c>
      <c r="I156" s="332">
        <v>537.8</v>
      </c>
      <c r="J156" s="331">
        <f t="shared" si="142"/>
        <v>2.8</v>
      </c>
      <c r="K156" s="332">
        <v>68.6</v>
      </c>
      <c r="L156" s="332">
        <v>91.4</v>
      </c>
      <c r="M156" s="331">
        <f t="shared" si="143"/>
        <v>22.8</v>
      </c>
      <c r="N156" s="331">
        <f t="shared" si="144"/>
        <v>0.072803136</v>
      </c>
      <c r="O156" s="332">
        <v>7820.0</v>
      </c>
      <c r="P156" s="331">
        <f t="shared" si="145"/>
        <v>569.3205235</v>
      </c>
      <c r="Q156" s="335"/>
      <c r="S156" s="319" t="s">
        <v>381</v>
      </c>
      <c r="T156" s="319" t="s">
        <v>375</v>
      </c>
      <c r="W156" s="330" t="s">
        <v>538</v>
      </c>
      <c r="X156" s="331"/>
      <c r="Y156" s="332">
        <v>4.0</v>
      </c>
      <c r="Z156" s="333">
        <v>-91.4</v>
      </c>
      <c r="AA156" s="333">
        <v>-68.6</v>
      </c>
      <c r="AB156" s="334">
        <f t="shared" si="146"/>
        <v>22.8</v>
      </c>
      <c r="AC156" s="332">
        <v>535.0</v>
      </c>
      <c r="AD156" s="332">
        <v>537.8</v>
      </c>
      <c r="AE156" s="331">
        <f t="shared" si="147"/>
        <v>2.8</v>
      </c>
      <c r="AF156" s="333">
        <v>570.2</v>
      </c>
      <c r="AG156" s="333">
        <v>570.2</v>
      </c>
      <c r="AH156" s="334">
        <v>1140.4</v>
      </c>
      <c r="AI156" s="331">
        <f t="shared" si="148"/>
        <v>0.072803136</v>
      </c>
      <c r="AJ156" s="332">
        <v>7820.0</v>
      </c>
      <c r="AK156" s="331">
        <f t="shared" si="149"/>
        <v>569.3205235</v>
      </c>
      <c r="AL156" s="335"/>
      <c r="AM156" s="158"/>
      <c r="AN156" s="158"/>
      <c r="AO156" s="158"/>
    </row>
    <row r="157">
      <c r="B157" s="330" t="s">
        <v>539</v>
      </c>
      <c r="C157" s="331"/>
      <c r="D157" s="332">
        <v>5.0</v>
      </c>
      <c r="E157" s="333">
        <v>570.2</v>
      </c>
      <c r="F157" s="333">
        <v>570.2</v>
      </c>
      <c r="G157" s="334">
        <v>1140.4</v>
      </c>
      <c r="H157" s="332">
        <v>535.0</v>
      </c>
      <c r="I157" s="332">
        <v>537.8</v>
      </c>
      <c r="J157" s="331">
        <f t="shared" si="142"/>
        <v>2.8</v>
      </c>
      <c r="K157" s="332">
        <v>228.6</v>
      </c>
      <c r="L157" s="332">
        <v>251.4</v>
      </c>
      <c r="M157" s="331">
        <f t="shared" si="143"/>
        <v>22.8</v>
      </c>
      <c r="N157" s="331">
        <f t="shared" si="144"/>
        <v>0.072803136</v>
      </c>
      <c r="O157" s="332">
        <v>7820.0</v>
      </c>
      <c r="P157" s="331">
        <f t="shared" si="145"/>
        <v>569.3205235</v>
      </c>
      <c r="Q157" s="335"/>
      <c r="S157" s="319" t="s">
        <v>383</v>
      </c>
      <c r="T157" s="319" t="s">
        <v>375</v>
      </c>
      <c r="W157" s="330" t="s">
        <v>540</v>
      </c>
      <c r="X157" s="331"/>
      <c r="Y157" s="332">
        <v>5.0</v>
      </c>
      <c r="Z157" s="333">
        <v>-251.4</v>
      </c>
      <c r="AA157" s="333">
        <v>-228.6</v>
      </c>
      <c r="AB157" s="334">
        <f t="shared" si="146"/>
        <v>22.8</v>
      </c>
      <c r="AC157" s="332">
        <v>535.0</v>
      </c>
      <c r="AD157" s="332">
        <v>537.8</v>
      </c>
      <c r="AE157" s="331">
        <f t="shared" si="147"/>
        <v>2.8</v>
      </c>
      <c r="AF157" s="333">
        <v>570.2</v>
      </c>
      <c r="AG157" s="333">
        <v>570.2</v>
      </c>
      <c r="AH157" s="334">
        <v>1140.4</v>
      </c>
      <c r="AI157" s="331">
        <f t="shared" si="148"/>
        <v>0.072803136</v>
      </c>
      <c r="AJ157" s="332">
        <v>7820.0</v>
      </c>
      <c r="AK157" s="331">
        <f t="shared" si="149"/>
        <v>569.3205235</v>
      </c>
      <c r="AL157" s="335"/>
      <c r="AM157" s="158"/>
      <c r="AN157" s="158"/>
      <c r="AO157" s="158"/>
    </row>
    <row r="158">
      <c r="B158" s="330" t="s">
        <v>541</v>
      </c>
      <c r="C158" s="331"/>
      <c r="D158" s="332">
        <v>6.0</v>
      </c>
      <c r="E158" s="333">
        <v>570.2</v>
      </c>
      <c r="F158" s="333">
        <v>570.2</v>
      </c>
      <c r="G158" s="334">
        <v>1140.4</v>
      </c>
      <c r="H158" s="332">
        <v>535.0</v>
      </c>
      <c r="I158" s="332">
        <v>537.8</v>
      </c>
      <c r="J158" s="331">
        <f t="shared" si="142"/>
        <v>2.8</v>
      </c>
      <c r="K158" s="332">
        <v>388.6</v>
      </c>
      <c r="L158" s="332">
        <v>411.4</v>
      </c>
      <c r="M158" s="331">
        <f t="shared" si="143"/>
        <v>22.8</v>
      </c>
      <c r="N158" s="331">
        <f t="shared" si="144"/>
        <v>0.072803136</v>
      </c>
      <c r="O158" s="332">
        <v>7820.0</v>
      </c>
      <c r="P158" s="331">
        <f t="shared" si="145"/>
        <v>569.3205235</v>
      </c>
      <c r="Q158" s="335"/>
      <c r="S158" s="319" t="s">
        <v>385</v>
      </c>
      <c r="T158" s="319" t="s">
        <v>375</v>
      </c>
      <c r="W158" s="330" t="s">
        <v>542</v>
      </c>
      <c r="X158" s="331"/>
      <c r="Y158" s="332">
        <v>6.0</v>
      </c>
      <c r="Z158" s="333">
        <v>-411.4</v>
      </c>
      <c r="AA158" s="333">
        <v>-388.6</v>
      </c>
      <c r="AB158" s="334">
        <f t="shared" si="146"/>
        <v>22.8</v>
      </c>
      <c r="AC158" s="332">
        <v>535.0</v>
      </c>
      <c r="AD158" s="332">
        <v>537.8</v>
      </c>
      <c r="AE158" s="331">
        <f t="shared" si="147"/>
        <v>2.8</v>
      </c>
      <c r="AF158" s="333">
        <v>570.2</v>
      </c>
      <c r="AG158" s="333">
        <v>570.2</v>
      </c>
      <c r="AH158" s="334">
        <v>1140.4</v>
      </c>
      <c r="AI158" s="331">
        <f t="shared" si="148"/>
        <v>0.072803136</v>
      </c>
      <c r="AJ158" s="332">
        <v>7820.0</v>
      </c>
      <c r="AK158" s="331">
        <f t="shared" si="149"/>
        <v>569.3205235</v>
      </c>
      <c r="AL158" s="335"/>
      <c r="AM158" s="158"/>
      <c r="AN158" s="158"/>
      <c r="AO158" s="158"/>
    </row>
    <row r="159">
      <c r="B159" s="336"/>
      <c r="C159" s="331"/>
      <c r="D159" s="332" t="s">
        <v>294</v>
      </c>
      <c r="E159" s="331"/>
      <c r="F159" s="331"/>
      <c r="G159" s="331"/>
      <c r="H159" s="331"/>
      <c r="I159" s="331"/>
      <c r="J159" s="331"/>
      <c r="K159" s="331"/>
      <c r="L159" s="331"/>
      <c r="M159" s="331"/>
      <c r="N159" s="331">
        <f>SUM(N153:N158)</f>
        <v>0.436818816</v>
      </c>
      <c r="O159" s="331"/>
      <c r="P159" s="331">
        <f>SUM(P153:P158)</f>
        <v>3415.923141</v>
      </c>
      <c r="Q159" s="335"/>
      <c r="S159" s="321"/>
      <c r="T159" s="321"/>
      <c r="U159" s="321"/>
      <c r="V159" s="321"/>
      <c r="W159" s="336"/>
      <c r="X159" s="331"/>
      <c r="Y159" s="332" t="s">
        <v>294</v>
      </c>
      <c r="Z159" s="331"/>
      <c r="AA159" s="331"/>
      <c r="AB159" s="331"/>
      <c r="AC159" s="331"/>
      <c r="AD159" s="331"/>
      <c r="AE159" s="331"/>
      <c r="AF159" s="331"/>
      <c r="AG159" s="331"/>
      <c r="AH159" s="331"/>
      <c r="AI159" s="331">
        <f>SUM(AI153:AI158)</f>
        <v>0.436818816</v>
      </c>
      <c r="AJ159" s="331"/>
      <c r="AK159" s="331">
        <f>SUM(AK153:AK158)</f>
        <v>3415.923141</v>
      </c>
      <c r="AL159" s="335"/>
      <c r="AM159" s="158">
        <f>AI159+N159</f>
        <v>0.873637632</v>
      </c>
      <c r="AN159" s="158"/>
      <c r="AO159" s="158"/>
    </row>
    <row r="160">
      <c r="B160" s="336"/>
      <c r="C160" s="331"/>
      <c r="D160" s="331"/>
      <c r="E160" s="331"/>
      <c r="F160" s="331"/>
      <c r="G160" s="331"/>
      <c r="H160" s="331"/>
      <c r="I160" s="331"/>
      <c r="J160" s="331"/>
      <c r="K160" s="331"/>
      <c r="L160" s="331"/>
      <c r="M160" s="331"/>
      <c r="N160" s="331"/>
      <c r="O160" s="331"/>
      <c r="P160" s="331">
        <f>P159/1000</f>
        <v>3.415923141</v>
      </c>
      <c r="Q160" s="337" t="s">
        <v>371</v>
      </c>
      <c r="S160" s="321"/>
      <c r="T160" s="321"/>
      <c r="U160" s="321"/>
      <c r="V160" s="321"/>
      <c r="W160" s="336"/>
      <c r="X160" s="331"/>
      <c r="Y160" s="331"/>
      <c r="Z160" s="331"/>
      <c r="AA160" s="331"/>
      <c r="AB160" s="331"/>
      <c r="AC160" s="331"/>
      <c r="AD160" s="331"/>
      <c r="AE160" s="331"/>
      <c r="AF160" s="331"/>
      <c r="AG160" s="331"/>
      <c r="AH160" s="331"/>
      <c r="AI160" s="331"/>
      <c r="AJ160" s="331"/>
      <c r="AK160" s="331">
        <f>AK159/1000</f>
        <v>3.415923141</v>
      </c>
      <c r="AL160" s="337" t="s">
        <v>371</v>
      </c>
      <c r="AM160" s="307"/>
      <c r="AN160" s="307"/>
      <c r="AO160" s="307"/>
    </row>
    <row r="161">
      <c r="B161" s="336"/>
      <c r="C161" s="331"/>
      <c r="D161" s="331"/>
      <c r="E161" s="331"/>
      <c r="F161" s="331"/>
      <c r="G161" s="331"/>
      <c r="H161" s="331"/>
      <c r="I161" s="331"/>
      <c r="J161" s="331"/>
      <c r="K161" s="331"/>
      <c r="L161" s="331"/>
      <c r="M161" s="331"/>
      <c r="N161" s="331"/>
      <c r="O161" s="331"/>
      <c r="P161" s="331"/>
      <c r="Q161" s="337"/>
      <c r="S161" s="321"/>
      <c r="T161" s="321"/>
      <c r="U161" s="321"/>
      <c r="V161" s="321"/>
      <c r="W161" s="336"/>
      <c r="X161" s="331"/>
      <c r="Y161" s="331"/>
      <c r="Z161" s="331"/>
      <c r="AA161" s="331"/>
      <c r="AB161" s="331"/>
      <c r="AC161" s="331"/>
      <c r="AD161" s="331"/>
      <c r="AE161" s="331"/>
      <c r="AF161" s="331"/>
      <c r="AG161" s="331"/>
      <c r="AH161" s="331"/>
      <c r="AI161" s="331"/>
      <c r="AJ161" s="331"/>
      <c r="AK161" s="331"/>
      <c r="AL161" s="337"/>
      <c r="AM161" s="307"/>
      <c r="AN161" s="307"/>
      <c r="AO161" s="307"/>
    </row>
    <row r="162">
      <c r="B162" s="338" t="s">
        <v>330</v>
      </c>
      <c r="C162" s="332" t="s">
        <v>386</v>
      </c>
      <c r="D162" s="362" t="s">
        <v>506</v>
      </c>
      <c r="E162" s="332" t="s">
        <v>333</v>
      </c>
      <c r="F162" s="332" t="s">
        <v>334</v>
      </c>
      <c r="G162" s="332" t="s">
        <v>335</v>
      </c>
      <c r="H162" s="332" t="s">
        <v>336</v>
      </c>
      <c r="I162" s="332" t="s">
        <v>337</v>
      </c>
      <c r="J162" s="332" t="s">
        <v>338</v>
      </c>
      <c r="K162" s="332" t="s">
        <v>339</v>
      </c>
      <c r="L162" s="332" t="s">
        <v>340</v>
      </c>
      <c r="M162" s="332" t="s">
        <v>341</v>
      </c>
      <c r="N162" s="332" t="s">
        <v>235</v>
      </c>
      <c r="O162" s="332" t="s">
        <v>342</v>
      </c>
      <c r="P162" s="332" t="s">
        <v>229</v>
      </c>
      <c r="Q162" s="335"/>
      <c r="S162" s="321"/>
      <c r="T162" s="321"/>
      <c r="U162" s="321"/>
      <c r="V162" s="321"/>
      <c r="W162" s="338" t="s">
        <v>330</v>
      </c>
      <c r="X162" s="332" t="s">
        <v>386</v>
      </c>
      <c r="Y162" s="362" t="s">
        <v>506</v>
      </c>
      <c r="Z162" s="332" t="s">
        <v>333</v>
      </c>
      <c r="AA162" s="332" t="s">
        <v>334</v>
      </c>
      <c r="AB162" s="332" t="s">
        <v>335</v>
      </c>
      <c r="AC162" s="332" t="s">
        <v>336</v>
      </c>
      <c r="AD162" s="332" t="s">
        <v>337</v>
      </c>
      <c r="AE162" s="332" t="s">
        <v>338</v>
      </c>
      <c r="AF162" s="332" t="s">
        <v>339</v>
      </c>
      <c r="AG162" s="332" t="s">
        <v>340</v>
      </c>
      <c r="AH162" s="332" t="s">
        <v>341</v>
      </c>
      <c r="AI162" s="332" t="s">
        <v>235</v>
      </c>
      <c r="AJ162" s="332" t="s">
        <v>342</v>
      </c>
      <c r="AK162" s="332" t="s">
        <v>229</v>
      </c>
      <c r="AL162" s="335"/>
      <c r="AM162" s="158"/>
      <c r="AN162" s="158"/>
      <c r="AO162" s="158"/>
    </row>
    <row r="163">
      <c r="B163" s="330" t="s">
        <v>543</v>
      </c>
      <c r="C163" s="331"/>
      <c r="D163" s="332">
        <v>1.0</v>
      </c>
      <c r="E163" s="333">
        <v>508.4</v>
      </c>
      <c r="F163" s="333">
        <v>508.4</v>
      </c>
      <c r="G163" s="334">
        <f t="shared" ref="G163:G168" si="150">SUM(E163:F163)</f>
        <v>1016.8</v>
      </c>
      <c r="H163" s="332">
        <v>478.8</v>
      </c>
      <c r="I163" s="332">
        <v>475.18</v>
      </c>
      <c r="J163" s="331">
        <f t="shared" ref="J163:J168" si="151">H163-I163</f>
        <v>3.62</v>
      </c>
      <c r="K163" s="332">
        <v>-411.4</v>
      </c>
      <c r="L163" s="332">
        <v>-388.6</v>
      </c>
      <c r="M163" s="331">
        <f t="shared" ref="M163:M168" si="152">L163-K163</f>
        <v>22.8</v>
      </c>
      <c r="N163" s="331">
        <f t="shared" ref="N163:N168" si="153">(G163*J163*M163)/1000000</f>
        <v>0.0839226048</v>
      </c>
      <c r="O163" s="332">
        <v>7820.0</v>
      </c>
      <c r="P163" s="331">
        <f t="shared" ref="P163:P168" si="154">N163*O163</f>
        <v>656.2747695</v>
      </c>
      <c r="Q163" s="335"/>
      <c r="S163" s="319" t="s">
        <v>388</v>
      </c>
      <c r="T163" s="319" t="s">
        <v>389</v>
      </c>
      <c r="W163" s="330" t="s">
        <v>544</v>
      </c>
      <c r="X163" s="331"/>
      <c r="Y163" s="332">
        <v>1.0</v>
      </c>
      <c r="Z163" s="332">
        <v>478.8</v>
      </c>
      <c r="AA163" s="332">
        <v>475.18</v>
      </c>
      <c r="AB163" s="331">
        <f t="shared" ref="AB163:AB168" si="155">Z163-AA163</f>
        <v>3.62</v>
      </c>
      <c r="AC163" s="332">
        <v>478.8</v>
      </c>
      <c r="AD163" s="332">
        <v>475.18</v>
      </c>
      <c r="AE163" s="331">
        <f t="shared" ref="AE163:AE168" si="156">AC163-AD163</f>
        <v>3.62</v>
      </c>
      <c r="AF163" s="333">
        <v>570.2</v>
      </c>
      <c r="AG163" s="333">
        <v>570.2</v>
      </c>
      <c r="AH163" s="334">
        <v>1140.4</v>
      </c>
      <c r="AI163" s="331">
        <f t="shared" ref="AI163:AI168" si="157">(AB163*AE163*AH163)/1000000</f>
        <v>0.01494425776</v>
      </c>
      <c r="AJ163" s="332">
        <v>7820.0</v>
      </c>
      <c r="AK163" s="331">
        <f t="shared" ref="AK163:AK168" si="158">AI163*AJ163</f>
        <v>116.8640957</v>
      </c>
      <c r="AL163" s="335"/>
      <c r="AM163" s="158"/>
      <c r="AN163" s="158"/>
      <c r="AO163" s="158"/>
    </row>
    <row r="164">
      <c r="B164" s="330" t="s">
        <v>545</v>
      </c>
      <c r="C164" s="331"/>
      <c r="D164" s="332">
        <v>2.0</v>
      </c>
      <c r="E164" s="333">
        <v>508.4</v>
      </c>
      <c r="F164" s="333">
        <v>508.4</v>
      </c>
      <c r="G164" s="334">
        <f t="shared" si="150"/>
        <v>1016.8</v>
      </c>
      <c r="H164" s="332">
        <v>478.8</v>
      </c>
      <c r="I164" s="332">
        <v>475.18</v>
      </c>
      <c r="J164" s="331">
        <f t="shared" si="151"/>
        <v>3.62</v>
      </c>
      <c r="K164" s="332">
        <v>-251.4</v>
      </c>
      <c r="L164" s="332">
        <v>-228.6</v>
      </c>
      <c r="M164" s="331">
        <f t="shared" si="152"/>
        <v>22.8</v>
      </c>
      <c r="N164" s="331">
        <f t="shared" si="153"/>
        <v>0.0839226048</v>
      </c>
      <c r="O164" s="332">
        <v>7820.0</v>
      </c>
      <c r="P164" s="331">
        <f t="shared" si="154"/>
        <v>656.2747695</v>
      </c>
      <c r="Q164" s="335"/>
      <c r="S164" s="319" t="s">
        <v>391</v>
      </c>
      <c r="T164" s="319" t="s">
        <v>389</v>
      </c>
      <c r="W164" s="330" t="s">
        <v>546</v>
      </c>
      <c r="X164" s="331"/>
      <c r="Y164" s="332">
        <v>2.0</v>
      </c>
      <c r="Z164" s="332">
        <v>478.8</v>
      </c>
      <c r="AA164" s="332">
        <v>475.18</v>
      </c>
      <c r="AB164" s="331">
        <f t="shared" si="155"/>
        <v>3.62</v>
      </c>
      <c r="AC164" s="332">
        <v>478.8</v>
      </c>
      <c r="AD164" s="332">
        <v>475.18</v>
      </c>
      <c r="AE164" s="331">
        <f t="shared" si="156"/>
        <v>3.62</v>
      </c>
      <c r="AF164" s="333">
        <v>570.2</v>
      </c>
      <c r="AG164" s="333">
        <v>570.2</v>
      </c>
      <c r="AH164" s="334">
        <v>1140.4</v>
      </c>
      <c r="AI164" s="331">
        <f t="shared" si="157"/>
        <v>0.01494425776</v>
      </c>
      <c r="AJ164" s="332">
        <v>7820.0</v>
      </c>
      <c r="AK164" s="331">
        <f t="shared" si="158"/>
        <v>116.8640957</v>
      </c>
      <c r="AL164" s="335"/>
      <c r="AM164" s="158"/>
      <c r="AN164" s="158"/>
      <c r="AO164" s="158"/>
    </row>
    <row r="165">
      <c r="B165" s="330" t="s">
        <v>547</v>
      </c>
      <c r="C165" s="331"/>
      <c r="D165" s="332">
        <v>3.0</v>
      </c>
      <c r="E165" s="333">
        <v>508.4</v>
      </c>
      <c r="F165" s="333">
        <v>508.4</v>
      </c>
      <c r="G165" s="334">
        <f t="shared" si="150"/>
        <v>1016.8</v>
      </c>
      <c r="H165" s="332">
        <v>478.8</v>
      </c>
      <c r="I165" s="332">
        <v>475.18</v>
      </c>
      <c r="J165" s="331">
        <f t="shared" si="151"/>
        <v>3.62</v>
      </c>
      <c r="K165" s="332">
        <v>-91.4</v>
      </c>
      <c r="L165" s="332">
        <v>-68.6</v>
      </c>
      <c r="M165" s="331">
        <f t="shared" si="152"/>
        <v>22.8</v>
      </c>
      <c r="N165" s="331">
        <f t="shared" si="153"/>
        <v>0.0839226048</v>
      </c>
      <c r="O165" s="332">
        <v>7820.0</v>
      </c>
      <c r="P165" s="331">
        <f t="shared" si="154"/>
        <v>656.2747695</v>
      </c>
      <c r="Q165" s="335"/>
      <c r="S165" s="319" t="s">
        <v>393</v>
      </c>
      <c r="T165" s="319" t="s">
        <v>389</v>
      </c>
      <c r="W165" s="330" t="s">
        <v>548</v>
      </c>
      <c r="X165" s="331"/>
      <c r="Y165" s="332">
        <v>3.0</v>
      </c>
      <c r="Z165" s="332">
        <v>478.8</v>
      </c>
      <c r="AA165" s="332">
        <v>475.18</v>
      </c>
      <c r="AB165" s="331">
        <f t="shared" si="155"/>
        <v>3.62</v>
      </c>
      <c r="AC165" s="332">
        <v>478.8</v>
      </c>
      <c r="AD165" s="332">
        <v>475.18</v>
      </c>
      <c r="AE165" s="331">
        <f t="shared" si="156"/>
        <v>3.62</v>
      </c>
      <c r="AF165" s="333">
        <v>570.2</v>
      </c>
      <c r="AG165" s="333">
        <v>570.2</v>
      </c>
      <c r="AH165" s="334">
        <v>1140.4</v>
      </c>
      <c r="AI165" s="331">
        <f t="shared" si="157"/>
        <v>0.01494425776</v>
      </c>
      <c r="AJ165" s="332">
        <v>7820.0</v>
      </c>
      <c r="AK165" s="331">
        <f t="shared" si="158"/>
        <v>116.8640957</v>
      </c>
      <c r="AL165" s="335"/>
      <c r="AM165" s="158"/>
      <c r="AN165" s="158"/>
      <c r="AO165" s="158"/>
    </row>
    <row r="166">
      <c r="B166" s="330" t="s">
        <v>549</v>
      </c>
      <c r="C166" s="331"/>
      <c r="D166" s="332">
        <v>4.0</v>
      </c>
      <c r="E166" s="333">
        <v>508.4</v>
      </c>
      <c r="F166" s="333">
        <v>508.4</v>
      </c>
      <c r="G166" s="334">
        <f t="shared" si="150"/>
        <v>1016.8</v>
      </c>
      <c r="H166" s="332">
        <v>478.8</v>
      </c>
      <c r="I166" s="332">
        <v>475.18</v>
      </c>
      <c r="J166" s="331">
        <f t="shared" si="151"/>
        <v>3.62</v>
      </c>
      <c r="K166" s="332">
        <v>68.6</v>
      </c>
      <c r="L166" s="332">
        <v>91.4</v>
      </c>
      <c r="M166" s="331">
        <f t="shared" si="152"/>
        <v>22.8</v>
      </c>
      <c r="N166" s="331">
        <f t="shared" si="153"/>
        <v>0.0839226048</v>
      </c>
      <c r="O166" s="332">
        <v>7820.0</v>
      </c>
      <c r="P166" s="331">
        <f t="shared" si="154"/>
        <v>656.2747695</v>
      </c>
      <c r="Q166" s="335"/>
      <c r="S166" s="319" t="s">
        <v>395</v>
      </c>
      <c r="T166" s="319" t="s">
        <v>389</v>
      </c>
      <c r="W166" s="330" t="s">
        <v>550</v>
      </c>
      <c r="X166" s="331"/>
      <c r="Y166" s="332">
        <v>4.0</v>
      </c>
      <c r="Z166" s="332">
        <v>478.8</v>
      </c>
      <c r="AA166" s="332">
        <v>475.18</v>
      </c>
      <c r="AB166" s="331">
        <f t="shared" si="155"/>
        <v>3.62</v>
      </c>
      <c r="AC166" s="332">
        <v>478.8</v>
      </c>
      <c r="AD166" s="332">
        <v>475.18</v>
      </c>
      <c r="AE166" s="331">
        <f t="shared" si="156"/>
        <v>3.62</v>
      </c>
      <c r="AF166" s="333">
        <v>570.2</v>
      </c>
      <c r="AG166" s="333">
        <v>570.2</v>
      </c>
      <c r="AH166" s="334">
        <v>1140.4</v>
      </c>
      <c r="AI166" s="331">
        <f t="shared" si="157"/>
        <v>0.01494425776</v>
      </c>
      <c r="AJ166" s="332">
        <v>7820.0</v>
      </c>
      <c r="AK166" s="331">
        <f t="shared" si="158"/>
        <v>116.8640957</v>
      </c>
      <c r="AL166" s="335"/>
      <c r="AM166" s="158"/>
      <c r="AN166" s="158"/>
      <c r="AO166" s="158"/>
    </row>
    <row r="167">
      <c r="B167" s="330" t="s">
        <v>551</v>
      </c>
      <c r="C167" s="331"/>
      <c r="D167" s="332">
        <v>5.0</v>
      </c>
      <c r="E167" s="333">
        <v>508.4</v>
      </c>
      <c r="F167" s="333">
        <v>508.4</v>
      </c>
      <c r="G167" s="334">
        <f t="shared" si="150"/>
        <v>1016.8</v>
      </c>
      <c r="H167" s="332">
        <v>478.8</v>
      </c>
      <c r="I167" s="332">
        <v>475.18</v>
      </c>
      <c r="J167" s="331">
        <f t="shared" si="151"/>
        <v>3.62</v>
      </c>
      <c r="K167" s="332">
        <v>228.6</v>
      </c>
      <c r="L167" s="332">
        <v>251.4</v>
      </c>
      <c r="M167" s="331">
        <f t="shared" si="152"/>
        <v>22.8</v>
      </c>
      <c r="N167" s="331">
        <f t="shared" si="153"/>
        <v>0.0839226048</v>
      </c>
      <c r="O167" s="332">
        <v>7820.0</v>
      </c>
      <c r="P167" s="331">
        <f t="shared" si="154"/>
        <v>656.2747695</v>
      </c>
      <c r="Q167" s="335"/>
      <c r="S167" s="319" t="s">
        <v>397</v>
      </c>
      <c r="T167" s="319" t="s">
        <v>389</v>
      </c>
      <c r="W167" s="330" t="s">
        <v>552</v>
      </c>
      <c r="X167" s="331"/>
      <c r="Y167" s="332">
        <v>5.0</v>
      </c>
      <c r="Z167" s="332">
        <v>478.8</v>
      </c>
      <c r="AA167" s="332">
        <v>475.18</v>
      </c>
      <c r="AB167" s="331">
        <f t="shared" si="155"/>
        <v>3.62</v>
      </c>
      <c r="AC167" s="332">
        <v>478.8</v>
      </c>
      <c r="AD167" s="332">
        <v>475.18</v>
      </c>
      <c r="AE167" s="331">
        <f t="shared" si="156"/>
        <v>3.62</v>
      </c>
      <c r="AF167" s="333">
        <v>570.2</v>
      </c>
      <c r="AG167" s="333">
        <v>570.2</v>
      </c>
      <c r="AH167" s="334">
        <v>1140.4</v>
      </c>
      <c r="AI167" s="331">
        <f t="shared" si="157"/>
        <v>0.01494425776</v>
      </c>
      <c r="AJ167" s="332">
        <v>7820.0</v>
      </c>
      <c r="AK167" s="331">
        <f t="shared" si="158"/>
        <v>116.8640957</v>
      </c>
      <c r="AL167" s="335"/>
      <c r="AM167" s="158"/>
      <c r="AN167" s="158"/>
      <c r="AO167" s="158"/>
    </row>
    <row r="168">
      <c r="B168" s="330" t="s">
        <v>553</v>
      </c>
      <c r="C168" s="331"/>
      <c r="D168" s="332">
        <v>6.0</v>
      </c>
      <c r="E168" s="333">
        <v>508.4</v>
      </c>
      <c r="F168" s="333">
        <v>508.4</v>
      </c>
      <c r="G168" s="334">
        <f t="shared" si="150"/>
        <v>1016.8</v>
      </c>
      <c r="H168" s="332">
        <v>478.8</v>
      </c>
      <c r="I168" s="332">
        <v>475.18</v>
      </c>
      <c r="J168" s="331">
        <f t="shared" si="151"/>
        <v>3.62</v>
      </c>
      <c r="K168" s="332">
        <v>388.6</v>
      </c>
      <c r="L168" s="332">
        <v>411.4</v>
      </c>
      <c r="M168" s="331">
        <f t="shared" si="152"/>
        <v>22.8</v>
      </c>
      <c r="N168" s="331">
        <f t="shared" si="153"/>
        <v>0.0839226048</v>
      </c>
      <c r="O168" s="332">
        <v>7820.0</v>
      </c>
      <c r="P168" s="331">
        <f t="shared" si="154"/>
        <v>656.2747695</v>
      </c>
      <c r="Q168" s="335"/>
      <c r="S168" s="319" t="s">
        <v>399</v>
      </c>
      <c r="T168" s="319" t="s">
        <v>389</v>
      </c>
      <c r="W168" s="330" t="s">
        <v>554</v>
      </c>
      <c r="X168" s="331"/>
      <c r="Y168" s="332">
        <v>6.0</v>
      </c>
      <c r="Z168" s="332">
        <v>478.8</v>
      </c>
      <c r="AA168" s="332">
        <v>475.18</v>
      </c>
      <c r="AB168" s="331">
        <f t="shared" si="155"/>
        <v>3.62</v>
      </c>
      <c r="AC168" s="332">
        <v>478.8</v>
      </c>
      <c r="AD168" s="332">
        <v>475.18</v>
      </c>
      <c r="AE168" s="331">
        <f t="shared" si="156"/>
        <v>3.62</v>
      </c>
      <c r="AF168" s="333">
        <v>570.2</v>
      </c>
      <c r="AG168" s="333">
        <v>570.2</v>
      </c>
      <c r="AH168" s="334">
        <v>1140.4</v>
      </c>
      <c r="AI168" s="331">
        <f t="shared" si="157"/>
        <v>0.01494425776</v>
      </c>
      <c r="AJ168" s="332">
        <v>7820.0</v>
      </c>
      <c r="AK168" s="331">
        <f t="shared" si="158"/>
        <v>116.8640957</v>
      </c>
      <c r="AL168" s="335"/>
      <c r="AM168" s="158"/>
      <c r="AN168" s="158"/>
      <c r="AO168" s="158"/>
    </row>
    <row r="169">
      <c r="B169" s="336"/>
      <c r="C169" s="331"/>
      <c r="D169" s="332" t="s">
        <v>294</v>
      </c>
      <c r="E169" s="331"/>
      <c r="F169" s="331"/>
      <c r="G169" s="331"/>
      <c r="H169" s="331"/>
      <c r="I169" s="331"/>
      <c r="J169" s="331"/>
      <c r="K169" s="331"/>
      <c r="L169" s="331"/>
      <c r="M169" s="331"/>
      <c r="N169" s="331">
        <f>SUM(N163:N168)</f>
        <v>0.5035356288</v>
      </c>
      <c r="O169" s="331"/>
      <c r="P169" s="331">
        <f>SUM(P163:P168)</f>
        <v>3937.648617</v>
      </c>
      <c r="Q169" s="335"/>
      <c r="S169" s="321"/>
      <c r="T169" s="321"/>
      <c r="U169" s="321"/>
      <c r="V169" s="321"/>
      <c r="W169" s="336"/>
      <c r="X169" s="331"/>
      <c r="Y169" s="332" t="s">
        <v>294</v>
      </c>
      <c r="Z169" s="331"/>
      <c r="AA169" s="331"/>
      <c r="AB169" s="331"/>
      <c r="AC169" s="331"/>
      <c r="AD169" s="331"/>
      <c r="AE169" s="331"/>
      <c r="AF169" s="331"/>
      <c r="AG169" s="331"/>
      <c r="AH169" s="331"/>
      <c r="AI169" s="331">
        <f>SUM(AI163:AI168)</f>
        <v>0.08966554656</v>
      </c>
      <c r="AJ169" s="331"/>
      <c r="AK169" s="331">
        <f>SUM(AK163:AK168)</f>
        <v>701.1845741</v>
      </c>
      <c r="AL169" s="335"/>
      <c r="AM169" s="158">
        <f>AI169+N169</f>
        <v>0.5932011754</v>
      </c>
      <c r="AN169" s="158"/>
      <c r="AO169" s="158"/>
    </row>
    <row r="170">
      <c r="B170" s="339"/>
      <c r="C170" s="340"/>
      <c r="D170" s="340"/>
      <c r="E170" s="340"/>
      <c r="F170" s="340"/>
      <c r="G170" s="340"/>
      <c r="H170" s="340"/>
      <c r="I170" s="340"/>
      <c r="J170" s="340"/>
      <c r="K170" s="340"/>
      <c r="L170" s="340"/>
      <c r="M170" s="340"/>
      <c r="N170" s="340"/>
      <c r="O170" s="340"/>
      <c r="P170" s="340">
        <f>P169/1000</f>
        <v>3.937648617</v>
      </c>
      <c r="Q170" s="341" t="s">
        <v>371</v>
      </c>
      <c r="S170" s="321"/>
      <c r="T170" s="321"/>
      <c r="U170" s="321"/>
      <c r="V170" s="321"/>
      <c r="W170" s="339"/>
      <c r="X170" s="340"/>
      <c r="Y170" s="340"/>
      <c r="Z170" s="340"/>
      <c r="AA170" s="340"/>
      <c r="AB170" s="340"/>
      <c r="AC170" s="340"/>
      <c r="AD170" s="340"/>
      <c r="AE170" s="340"/>
      <c r="AF170" s="340"/>
      <c r="AG170" s="340"/>
      <c r="AH170" s="340"/>
      <c r="AI170" s="340"/>
      <c r="AJ170" s="340"/>
      <c r="AK170" s="340">
        <f>AK169/1000</f>
        <v>0.7011845741</v>
      </c>
      <c r="AL170" s="341" t="s">
        <v>371</v>
      </c>
      <c r="AM170" s="307"/>
      <c r="AN170" s="307"/>
      <c r="AO170" s="307"/>
    </row>
    <row r="171">
      <c r="S171" s="321"/>
      <c r="T171" s="321"/>
      <c r="U171" s="321"/>
      <c r="V171" s="321"/>
      <c r="AM171" s="158"/>
      <c r="AN171" s="158"/>
      <c r="AO171" s="158"/>
    </row>
    <row r="172">
      <c r="B172" s="342" t="s">
        <v>330</v>
      </c>
      <c r="C172" s="343" t="s">
        <v>400</v>
      </c>
      <c r="D172" s="362" t="s">
        <v>506</v>
      </c>
      <c r="E172" s="343" t="s">
        <v>333</v>
      </c>
      <c r="F172" s="343" t="s">
        <v>334</v>
      </c>
      <c r="G172" s="343" t="s">
        <v>335</v>
      </c>
      <c r="H172" s="343" t="s">
        <v>336</v>
      </c>
      <c r="I172" s="343" t="s">
        <v>337</v>
      </c>
      <c r="J172" s="343" t="s">
        <v>338</v>
      </c>
      <c r="K172" s="343" t="s">
        <v>339</v>
      </c>
      <c r="L172" s="343" t="s">
        <v>340</v>
      </c>
      <c r="M172" s="343" t="s">
        <v>341</v>
      </c>
      <c r="N172" s="343" t="s">
        <v>235</v>
      </c>
      <c r="O172" s="343" t="s">
        <v>342</v>
      </c>
      <c r="P172" s="343" t="s">
        <v>229</v>
      </c>
      <c r="Q172" s="344"/>
      <c r="S172" s="319" t="s">
        <v>401</v>
      </c>
      <c r="T172" s="319" t="s">
        <v>402</v>
      </c>
      <c r="U172" s="321"/>
      <c r="V172" s="321"/>
      <c r="W172" s="342" t="s">
        <v>330</v>
      </c>
      <c r="X172" s="343" t="s">
        <v>400</v>
      </c>
      <c r="Y172" s="362" t="s">
        <v>506</v>
      </c>
      <c r="Z172" s="343" t="s">
        <v>333</v>
      </c>
      <c r="AA172" s="343" t="s">
        <v>334</v>
      </c>
      <c r="AB172" s="343" t="s">
        <v>335</v>
      </c>
      <c r="AC172" s="343" t="s">
        <v>336</v>
      </c>
      <c r="AD172" s="343" t="s">
        <v>337</v>
      </c>
      <c r="AE172" s="343" t="s">
        <v>338</v>
      </c>
      <c r="AF172" s="343" t="s">
        <v>339</v>
      </c>
      <c r="AG172" s="343" t="s">
        <v>340</v>
      </c>
      <c r="AH172" s="343" t="s">
        <v>341</v>
      </c>
      <c r="AI172" s="343" t="s">
        <v>235</v>
      </c>
      <c r="AJ172" s="343" t="s">
        <v>342</v>
      </c>
      <c r="AK172" s="343" t="s">
        <v>229</v>
      </c>
      <c r="AL172" s="344"/>
      <c r="AM172" s="158"/>
      <c r="AN172" s="158"/>
      <c r="AO172" s="158"/>
    </row>
    <row r="173">
      <c r="B173" s="345" t="s">
        <v>555</v>
      </c>
      <c r="C173" s="346"/>
      <c r="D173" s="347">
        <v>1.0</v>
      </c>
      <c r="E173" s="348">
        <v>509.025</v>
      </c>
      <c r="F173" s="348">
        <v>511.2</v>
      </c>
      <c r="G173" s="349">
        <f t="shared" ref="G173:G178" si="159">F173-E173</f>
        <v>2.175</v>
      </c>
      <c r="H173" s="347">
        <v>535.0</v>
      </c>
      <c r="I173" s="347">
        <v>535.0</v>
      </c>
      <c r="J173" s="346">
        <f t="shared" ref="J173:J178" si="160">I173+H173</f>
        <v>1070</v>
      </c>
      <c r="K173" s="347">
        <v>-411.4</v>
      </c>
      <c r="L173" s="347">
        <v>-388.6</v>
      </c>
      <c r="M173" s="346">
        <f t="shared" ref="M173:M178" si="161">L173-K173</f>
        <v>22.8</v>
      </c>
      <c r="N173" s="346">
        <f t="shared" ref="N173:N178" si="162">(G173*J173*M173)/1000000</f>
        <v>0.0530613</v>
      </c>
      <c r="O173" s="347">
        <v>7820.0</v>
      </c>
      <c r="P173" s="346">
        <f t="shared" ref="P173:P178" si="163">N173*O173</f>
        <v>414.939366</v>
      </c>
      <c r="Q173" s="350"/>
      <c r="S173" s="319" t="s">
        <v>404</v>
      </c>
      <c r="T173" s="319" t="s">
        <v>405</v>
      </c>
      <c r="W173" s="345" t="s">
        <v>556</v>
      </c>
      <c r="X173" s="346"/>
      <c r="Y173" s="347">
        <v>1.0</v>
      </c>
      <c r="Z173" s="348">
        <v>509.025</v>
      </c>
      <c r="AA173" s="348">
        <v>511.2</v>
      </c>
      <c r="AB173" s="349">
        <f t="shared" ref="AB173:AB178" si="164">AA173-Z173</f>
        <v>2.175</v>
      </c>
      <c r="AC173" s="347">
        <v>388.6</v>
      </c>
      <c r="AD173" s="347">
        <v>411.4</v>
      </c>
      <c r="AE173" s="346">
        <f t="shared" ref="AE173:AE178" si="165">AD173-AC173</f>
        <v>22.8</v>
      </c>
      <c r="AF173" s="347">
        <v>508.4</v>
      </c>
      <c r="AG173" s="347">
        <v>508.4</v>
      </c>
      <c r="AH173" s="346">
        <f t="shared" ref="AH173:AH178" si="166">SUM(AF173:AG173)</f>
        <v>1016.8</v>
      </c>
      <c r="AI173" s="346">
        <f t="shared" ref="AI173:AI178" si="167">(AB173*AE173*AH173)/1000000</f>
        <v>0.050423112</v>
      </c>
      <c r="AJ173" s="347">
        <v>7820.0</v>
      </c>
      <c r="AK173" s="346">
        <f t="shared" ref="AK173:AK178" si="168">AI173*AJ173</f>
        <v>394.3087358</v>
      </c>
      <c r="AL173" s="350"/>
      <c r="AM173" s="158"/>
      <c r="AN173" s="158"/>
      <c r="AO173" s="158"/>
    </row>
    <row r="174">
      <c r="B174" s="345" t="s">
        <v>557</v>
      </c>
      <c r="C174" s="346"/>
      <c r="D174" s="347">
        <v>2.0</v>
      </c>
      <c r="E174" s="348">
        <v>509.025</v>
      </c>
      <c r="F174" s="348">
        <v>511.2</v>
      </c>
      <c r="G174" s="349">
        <f t="shared" si="159"/>
        <v>2.175</v>
      </c>
      <c r="H174" s="347">
        <v>535.0</v>
      </c>
      <c r="I174" s="347">
        <v>535.0</v>
      </c>
      <c r="J174" s="346">
        <f t="shared" si="160"/>
        <v>1070</v>
      </c>
      <c r="K174" s="347">
        <v>-251.4</v>
      </c>
      <c r="L174" s="347">
        <v>-228.6</v>
      </c>
      <c r="M174" s="346">
        <f t="shared" si="161"/>
        <v>22.8</v>
      </c>
      <c r="N174" s="346">
        <f t="shared" si="162"/>
        <v>0.0530613</v>
      </c>
      <c r="O174" s="347">
        <v>7820.0</v>
      </c>
      <c r="P174" s="346">
        <f t="shared" si="163"/>
        <v>414.939366</v>
      </c>
      <c r="Q174" s="350"/>
      <c r="S174" s="319" t="s">
        <v>407</v>
      </c>
      <c r="T174" s="351" t="s">
        <v>405</v>
      </c>
      <c r="U174" s="321"/>
      <c r="V174" s="321"/>
      <c r="W174" s="345" t="s">
        <v>558</v>
      </c>
      <c r="X174" s="346"/>
      <c r="Y174" s="347">
        <v>2.0</v>
      </c>
      <c r="Z174" s="348">
        <v>509.025</v>
      </c>
      <c r="AA174" s="348">
        <v>511.2</v>
      </c>
      <c r="AB174" s="349">
        <f t="shared" si="164"/>
        <v>2.175</v>
      </c>
      <c r="AC174" s="347">
        <v>228.6</v>
      </c>
      <c r="AD174" s="347">
        <v>251.4</v>
      </c>
      <c r="AE174" s="346">
        <f t="shared" si="165"/>
        <v>22.8</v>
      </c>
      <c r="AF174" s="347">
        <v>508.4</v>
      </c>
      <c r="AG174" s="347">
        <v>508.4</v>
      </c>
      <c r="AH174" s="346">
        <f t="shared" si="166"/>
        <v>1016.8</v>
      </c>
      <c r="AI174" s="346">
        <f t="shared" si="167"/>
        <v>0.050423112</v>
      </c>
      <c r="AJ174" s="347">
        <v>7820.0</v>
      </c>
      <c r="AK174" s="346">
        <f t="shared" si="168"/>
        <v>394.3087358</v>
      </c>
      <c r="AL174" s="350"/>
      <c r="AM174" s="158"/>
      <c r="AN174" s="158"/>
      <c r="AO174" s="158"/>
    </row>
    <row r="175">
      <c r="B175" s="345" t="s">
        <v>559</v>
      </c>
      <c r="C175" s="346"/>
      <c r="D175" s="347">
        <v>3.0</v>
      </c>
      <c r="E175" s="348">
        <v>509.025</v>
      </c>
      <c r="F175" s="348">
        <v>511.2</v>
      </c>
      <c r="G175" s="349">
        <f t="shared" si="159"/>
        <v>2.175</v>
      </c>
      <c r="H175" s="347">
        <v>535.0</v>
      </c>
      <c r="I175" s="347">
        <v>535.0</v>
      </c>
      <c r="J175" s="346">
        <f t="shared" si="160"/>
        <v>1070</v>
      </c>
      <c r="K175" s="347">
        <v>-91.4</v>
      </c>
      <c r="L175" s="347">
        <v>-68.6</v>
      </c>
      <c r="M175" s="346">
        <f t="shared" si="161"/>
        <v>22.8</v>
      </c>
      <c r="N175" s="346">
        <f t="shared" si="162"/>
        <v>0.0530613</v>
      </c>
      <c r="O175" s="347">
        <v>7820.0</v>
      </c>
      <c r="P175" s="346">
        <f t="shared" si="163"/>
        <v>414.939366</v>
      </c>
      <c r="Q175" s="350"/>
      <c r="S175" s="319" t="s">
        <v>409</v>
      </c>
      <c r="T175" s="351" t="s">
        <v>405</v>
      </c>
      <c r="U175" s="321"/>
      <c r="V175" s="321"/>
      <c r="W175" s="345" t="s">
        <v>560</v>
      </c>
      <c r="X175" s="346"/>
      <c r="Y175" s="347">
        <v>3.0</v>
      </c>
      <c r="Z175" s="348">
        <v>509.025</v>
      </c>
      <c r="AA175" s="348">
        <v>511.2</v>
      </c>
      <c r="AB175" s="349">
        <f t="shared" si="164"/>
        <v>2.175</v>
      </c>
      <c r="AC175" s="347">
        <v>68.6</v>
      </c>
      <c r="AD175" s="347">
        <v>91.4</v>
      </c>
      <c r="AE175" s="346">
        <f t="shared" si="165"/>
        <v>22.8</v>
      </c>
      <c r="AF175" s="347">
        <v>508.4</v>
      </c>
      <c r="AG175" s="347">
        <v>508.4</v>
      </c>
      <c r="AH175" s="346">
        <f t="shared" si="166"/>
        <v>1016.8</v>
      </c>
      <c r="AI175" s="346">
        <f t="shared" si="167"/>
        <v>0.050423112</v>
      </c>
      <c r="AJ175" s="347">
        <v>7820.0</v>
      </c>
      <c r="AK175" s="346">
        <f t="shared" si="168"/>
        <v>394.3087358</v>
      </c>
      <c r="AL175" s="350"/>
      <c r="AM175" s="158"/>
      <c r="AN175" s="158"/>
      <c r="AO175" s="158"/>
    </row>
    <row r="176">
      <c r="B176" s="345" t="s">
        <v>561</v>
      </c>
      <c r="C176" s="346"/>
      <c r="D176" s="347">
        <v>4.0</v>
      </c>
      <c r="E176" s="348">
        <v>509.025</v>
      </c>
      <c r="F176" s="348">
        <v>511.2</v>
      </c>
      <c r="G176" s="349">
        <f t="shared" si="159"/>
        <v>2.175</v>
      </c>
      <c r="H176" s="347">
        <v>535.0</v>
      </c>
      <c r="I176" s="347">
        <v>535.0</v>
      </c>
      <c r="J176" s="346">
        <f t="shared" si="160"/>
        <v>1070</v>
      </c>
      <c r="K176" s="347">
        <v>68.6</v>
      </c>
      <c r="L176" s="347">
        <v>91.4</v>
      </c>
      <c r="M176" s="346">
        <f t="shared" si="161"/>
        <v>22.8</v>
      </c>
      <c r="N176" s="346">
        <f t="shared" si="162"/>
        <v>0.0530613</v>
      </c>
      <c r="O176" s="347">
        <v>7820.0</v>
      </c>
      <c r="P176" s="346">
        <f t="shared" si="163"/>
        <v>414.939366</v>
      </c>
      <c r="Q176" s="350"/>
      <c r="S176" s="319" t="s">
        <v>411</v>
      </c>
      <c r="T176" s="351" t="s">
        <v>405</v>
      </c>
      <c r="U176" s="321"/>
      <c r="V176" s="321"/>
      <c r="W176" s="345" t="s">
        <v>562</v>
      </c>
      <c r="X176" s="346"/>
      <c r="Y176" s="347">
        <v>4.0</v>
      </c>
      <c r="Z176" s="348">
        <v>509.025</v>
      </c>
      <c r="AA176" s="348">
        <v>511.2</v>
      </c>
      <c r="AB176" s="349">
        <f t="shared" si="164"/>
        <v>2.175</v>
      </c>
      <c r="AC176" s="347">
        <v>-91.4</v>
      </c>
      <c r="AD176" s="347">
        <v>-68.6</v>
      </c>
      <c r="AE176" s="346">
        <f t="shared" si="165"/>
        <v>22.8</v>
      </c>
      <c r="AF176" s="347">
        <v>508.4</v>
      </c>
      <c r="AG176" s="347">
        <v>508.4</v>
      </c>
      <c r="AH176" s="346">
        <f t="shared" si="166"/>
        <v>1016.8</v>
      </c>
      <c r="AI176" s="346">
        <f t="shared" si="167"/>
        <v>0.050423112</v>
      </c>
      <c r="AJ176" s="347">
        <v>7820.0</v>
      </c>
      <c r="AK176" s="346">
        <f t="shared" si="168"/>
        <v>394.3087358</v>
      </c>
      <c r="AL176" s="350"/>
      <c r="AM176" s="158"/>
      <c r="AN176" s="158"/>
      <c r="AO176" s="158"/>
    </row>
    <row r="177">
      <c r="B177" s="345" t="s">
        <v>563</v>
      </c>
      <c r="C177" s="346"/>
      <c r="D177" s="347">
        <v>5.0</v>
      </c>
      <c r="E177" s="348">
        <v>509.025</v>
      </c>
      <c r="F177" s="348">
        <v>511.2</v>
      </c>
      <c r="G177" s="349">
        <f t="shared" si="159"/>
        <v>2.175</v>
      </c>
      <c r="H177" s="347">
        <v>535.0</v>
      </c>
      <c r="I177" s="347">
        <v>535.0</v>
      </c>
      <c r="J177" s="346">
        <f t="shared" si="160"/>
        <v>1070</v>
      </c>
      <c r="K177" s="347">
        <v>228.6</v>
      </c>
      <c r="L177" s="347">
        <v>251.4</v>
      </c>
      <c r="M177" s="346">
        <f t="shared" si="161"/>
        <v>22.8</v>
      </c>
      <c r="N177" s="346">
        <f t="shared" si="162"/>
        <v>0.0530613</v>
      </c>
      <c r="O177" s="347">
        <v>7820.0</v>
      </c>
      <c r="P177" s="346">
        <f t="shared" si="163"/>
        <v>414.939366</v>
      </c>
      <c r="Q177" s="350"/>
      <c r="S177" s="319" t="s">
        <v>413</v>
      </c>
      <c r="T177" s="351" t="s">
        <v>405</v>
      </c>
      <c r="U177" s="321"/>
      <c r="V177" s="321"/>
      <c r="W177" s="345" t="s">
        <v>564</v>
      </c>
      <c r="X177" s="346"/>
      <c r="Y177" s="347">
        <v>5.0</v>
      </c>
      <c r="Z177" s="348">
        <v>509.025</v>
      </c>
      <c r="AA177" s="348">
        <v>511.2</v>
      </c>
      <c r="AB177" s="349">
        <f t="shared" si="164"/>
        <v>2.175</v>
      </c>
      <c r="AC177" s="347">
        <v>-251.4</v>
      </c>
      <c r="AD177" s="347">
        <v>-228.6</v>
      </c>
      <c r="AE177" s="346">
        <f t="shared" si="165"/>
        <v>22.8</v>
      </c>
      <c r="AF177" s="347">
        <v>508.4</v>
      </c>
      <c r="AG177" s="347">
        <v>508.4</v>
      </c>
      <c r="AH177" s="346">
        <f t="shared" si="166"/>
        <v>1016.8</v>
      </c>
      <c r="AI177" s="346">
        <f t="shared" si="167"/>
        <v>0.050423112</v>
      </c>
      <c r="AJ177" s="347">
        <v>7820.0</v>
      </c>
      <c r="AK177" s="346">
        <f t="shared" si="168"/>
        <v>394.3087358</v>
      </c>
      <c r="AL177" s="350"/>
      <c r="AM177" s="158"/>
      <c r="AN177" s="158"/>
      <c r="AO177" s="158"/>
    </row>
    <row r="178">
      <c r="B178" s="345" t="s">
        <v>565</v>
      </c>
      <c r="C178" s="346"/>
      <c r="D178" s="347">
        <v>6.0</v>
      </c>
      <c r="E178" s="348">
        <v>509.025</v>
      </c>
      <c r="F178" s="348">
        <v>511.2</v>
      </c>
      <c r="G178" s="349">
        <f t="shared" si="159"/>
        <v>2.175</v>
      </c>
      <c r="H178" s="347">
        <v>535.0</v>
      </c>
      <c r="I178" s="347">
        <v>535.0</v>
      </c>
      <c r="J178" s="346">
        <f t="shared" si="160"/>
        <v>1070</v>
      </c>
      <c r="K178" s="347">
        <v>388.6</v>
      </c>
      <c r="L178" s="347">
        <v>411.4</v>
      </c>
      <c r="M178" s="346">
        <f t="shared" si="161"/>
        <v>22.8</v>
      </c>
      <c r="N178" s="346">
        <f t="shared" si="162"/>
        <v>0.0530613</v>
      </c>
      <c r="O178" s="347">
        <v>7820.0</v>
      </c>
      <c r="P178" s="346">
        <f t="shared" si="163"/>
        <v>414.939366</v>
      </c>
      <c r="Q178" s="350"/>
      <c r="S178" s="319" t="s">
        <v>415</v>
      </c>
      <c r="T178" s="351" t="s">
        <v>405</v>
      </c>
      <c r="U178" s="321"/>
      <c r="V178" s="321"/>
      <c r="W178" s="345" t="s">
        <v>566</v>
      </c>
      <c r="X178" s="346"/>
      <c r="Y178" s="347">
        <v>6.0</v>
      </c>
      <c r="Z178" s="348">
        <v>509.025</v>
      </c>
      <c r="AA178" s="348">
        <v>511.2</v>
      </c>
      <c r="AB178" s="349">
        <f t="shared" si="164"/>
        <v>2.175</v>
      </c>
      <c r="AC178" s="347">
        <v>-411.4</v>
      </c>
      <c r="AD178" s="347">
        <v>-388.6</v>
      </c>
      <c r="AE178" s="346">
        <f t="shared" si="165"/>
        <v>22.8</v>
      </c>
      <c r="AF178" s="347">
        <v>508.4</v>
      </c>
      <c r="AG178" s="347">
        <v>508.4</v>
      </c>
      <c r="AH178" s="346">
        <f t="shared" si="166"/>
        <v>1016.8</v>
      </c>
      <c r="AI178" s="346">
        <f t="shared" si="167"/>
        <v>0.050423112</v>
      </c>
      <c r="AJ178" s="347">
        <v>7820.0</v>
      </c>
      <c r="AK178" s="346">
        <f t="shared" si="168"/>
        <v>394.3087358</v>
      </c>
      <c r="AL178" s="350"/>
      <c r="AM178" s="158"/>
      <c r="AN178" s="158"/>
      <c r="AO178" s="158"/>
    </row>
    <row r="179">
      <c r="B179" s="352"/>
      <c r="C179" s="346"/>
      <c r="D179" s="347" t="s">
        <v>294</v>
      </c>
      <c r="E179" s="346"/>
      <c r="F179" s="346"/>
      <c r="G179" s="346"/>
      <c r="H179" s="346"/>
      <c r="I179" s="346"/>
      <c r="J179" s="346"/>
      <c r="K179" s="346"/>
      <c r="L179" s="346"/>
      <c r="M179" s="346"/>
      <c r="N179" s="346">
        <f>SUM(N173:N178)</f>
        <v>0.3183678</v>
      </c>
      <c r="O179" s="346"/>
      <c r="P179" s="346">
        <f>SUM(P173:P178)</f>
        <v>2489.636196</v>
      </c>
      <c r="Q179" s="350"/>
      <c r="S179" s="321"/>
      <c r="T179" s="321"/>
      <c r="U179" s="321"/>
      <c r="V179" s="321"/>
      <c r="W179" s="352"/>
      <c r="X179" s="346"/>
      <c r="Y179" s="347" t="s">
        <v>294</v>
      </c>
      <c r="Z179" s="346"/>
      <c r="AA179" s="346"/>
      <c r="AB179" s="346"/>
      <c r="AC179" s="346"/>
      <c r="AD179" s="346"/>
      <c r="AE179" s="346"/>
      <c r="AF179" s="346"/>
      <c r="AG179" s="346"/>
      <c r="AH179" s="346"/>
      <c r="AI179" s="346">
        <f>SUM(AI173:AI178)</f>
        <v>0.302538672</v>
      </c>
      <c r="AJ179" s="346"/>
      <c r="AK179" s="346">
        <f>SUM(AK173:AK178)</f>
        <v>2365.852415</v>
      </c>
      <c r="AL179" s="350"/>
      <c r="AM179" s="158">
        <f>AI179+N179</f>
        <v>0.620906472</v>
      </c>
      <c r="AN179" s="158"/>
      <c r="AO179" s="158"/>
    </row>
    <row r="180">
      <c r="B180" s="352"/>
      <c r="C180" s="346"/>
      <c r="D180" s="346"/>
      <c r="E180" s="346"/>
      <c r="F180" s="346"/>
      <c r="G180" s="346"/>
      <c r="H180" s="346"/>
      <c r="I180" s="346"/>
      <c r="J180" s="346"/>
      <c r="K180" s="346"/>
      <c r="L180" s="346"/>
      <c r="M180" s="346"/>
      <c r="N180" s="346"/>
      <c r="O180" s="346"/>
      <c r="P180" s="346">
        <f>P179/1000</f>
        <v>2.489636196</v>
      </c>
      <c r="Q180" s="353" t="s">
        <v>371</v>
      </c>
      <c r="S180" s="321"/>
      <c r="T180" s="321"/>
      <c r="U180" s="321"/>
      <c r="V180" s="321"/>
      <c r="W180" s="352"/>
      <c r="X180" s="346"/>
      <c r="Y180" s="346"/>
      <c r="Z180" s="346"/>
      <c r="AA180" s="346"/>
      <c r="AB180" s="346"/>
      <c r="AC180" s="346"/>
      <c r="AD180" s="346"/>
      <c r="AE180" s="346"/>
      <c r="AF180" s="346"/>
      <c r="AG180" s="346"/>
      <c r="AH180" s="346"/>
      <c r="AI180" s="346"/>
      <c r="AJ180" s="346"/>
      <c r="AK180" s="346">
        <f>AK179/1000</f>
        <v>2.365852415</v>
      </c>
      <c r="AL180" s="353" t="s">
        <v>371</v>
      </c>
      <c r="AM180" s="307"/>
      <c r="AN180" s="307"/>
      <c r="AO180" s="307"/>
    </row>
    <row r="181">
      <c r="B181" s="352"/>
      <c r="C181" s="346"/>
      <c r="D181" s="346"/>
      <c r="E181" s="346"/>
      <c r="F181" s="346"/>
      <c r="G181" s="346"/>
      <c r="H181" s="346"/>
      <c r="I181" s="346"/>
      <c r="J181" s="346"/>
      <c r="K181" s="346"/>
      <c r="L181" s="346"/>
      <c r="M181" s="346"/>
      <c r="N181" s="346"/>
      <c r="O181" s="346"/>
      <c r="P181" s="346"/>
      <c r="Q181" s="353"/>
      <c r="S181" s="321"/>
      <c r="T181" s="321"/>
      <c r="U181" s="321"/>
      <c r="V181" s="321"/>
      <c r="W181" s="352"/>
      <c r="X181" s="346"/>
      <c r="Y181" s="346"/>
      <c r="Z181" s="346"/>
      <c r="AA181" s="346"/>
      <c r="AB181" s="346"/>
      <c r="AC181" s="346"/>
      <c r="AD181" s="346"/>
      <c r="AE181" s="346"/>
      <c r="AF181" s="346"/>
      <c r="AG181" s="346"/>
      <c r="AH181" s="346"/>
      <c r="AI181" s="346"/>
      <c r="AJ181" s="346"/>
      <c r="AK181" s="346"/>
      <c r="AL181" s="353"/>
      <c r="AM181" s="307"/>
      <c r="AN181" s="307"/>
      <c r="AO181" s="307"/>
    </row>
    <row r="182">
      <c r="B182" s="354" t="s">
        <v>330</v>
      </c>
      <c r="C182" s="347" t="s">
        <v>416</v>
      </c>
      <c r="D182" s="362" t="s">
        <v>506</v>
      </c>
      <c r="E182" s="347" t="s">
        <v>333</v>
      </c>
      <c r="F182" s="347" t="s">
        <v>334</v>
      </c>
      <c r="G182" s="347" t="s">
        <v>335</v>
      </c>
      <c r="H182" s="347" t="s">
        <v>336</v>
      </c>
      <c r="I182" s="347" t="s">
        <v>337</v>
      </c>
      <c r="J182" s="347" t="s">
        <v>338</v>
      </c>
      <c r="K182" s="347" t="s">
        <v>339</v>
      </c>
      <c r="L182" s="347" t="s">
        <v>340</v>
      </c>
      <c r="M182" s="347" t="s">
        <v>341</v>
      </c>
      <c r="N182" s="347" t="s">
        <v>235</v>
      </c>
      <c r="O182" s="347" t="s">
        <v>342</v>
      </c>
      <c r="P182" s="347" t="s">
        <v>229</v>
      </c>
      <c r="Q182" s="350"/>
      <c r="S182" s="321"/>
      <c r="T182" s="321"/>
      <c r="U182" s="321"/>
      <c r="V182" s="321"/>
      <c r="W182" s="354" t="s">
        <v>330</v>
      </c>
      <c r="X182" s="347" t="s">
        <v>416</v>
      </c>
      <c r="Y182" s="362" t="s">
        <v>506</v>
      </c>
      <c r="Z182" s="347" t="s">
        <v>333</v>
      </c>
      <c r="AA182" s="347" t="s">
        <v>334</v>
      </c>
      <c r="AB182" s="347" t="s">
        <v>335</v>
      </c>
      <c r="AC182" s="347" t="s">
        <v>336</v>
      </c>
      <c r="AD182" s="347" t="s">
        <v>337</v>
      </c>
      <c r="AE182" s="347" t="s">
        <v>338</v>
      </c>
      <c r="AF182" s="347" t="s">
        <v>339</v>
      </c>
      <c r="AG182" s="347" t="s">
        <v>340</v>
      </c>
      <c r="AH182" s="347" t="s">
        <v>341</v>
      </c>
      <c r="AI182" s="347" t="s">
        <v>235</v>
      </c>
      <c r="AJ182" s="347" t="s">
        <v>342</v>
      </c>
      <c r="AK182" s="347" t="s">
        <v>229</v>
      </c>
      <c r="AL182" s="350"/>
      <c r="AM182" s="158"/>
      <c r="AN182" s="158"/>
      <c r="AO182" s="158"/>
    </row>
    <row r="183">
      <c r="B183" s="345" t="s">
        <v>567</v>
      </c>
      <c r="C183" s="346"/>
      <c r="D183" s="347">
        <v>1.0</v>
      </c>
      <c r="E183" s="348">
        <v>511.2</v>
      </c>
      <c r="F183" s="348">
        <v>509.025</v>
      </c>
      <c r="G183" s="349">
        <f t="shared" ref="G183:G188" si="169">E183-F183</f>
        <v>2.175</v>
      </c>
      <c r="H183" s="347">
        <v>-535.0</v>
      </c>
      <c r="I183" s="347">
        <v>535.0</v>
      </c>
      <c r="J183" s="346">
        <f t="shared" ref="J183:J188" si="170">I183-H183</f>
        <v>1070</v>
      </c>
      <c r="K183" s="347">
        <v>388.6</v>
      </c>
      <c r="L183" s="347">
        <v>411.4</v>
      </c>
      <c r="M183" s="346">
        <f t="shared" ref="M183:M188" si="171">L183-K183</f>
        <v>22.8</v>
      </c>
      <c r="N183" s="346">
        <f t="shared" ref="N183:N188" si="172">(G183*J183*M183)/1000000</f>
        <v>0.0530613</v>
      </c>
      <c r="O183" s="347">
        <v>7820.0</v>
      </c>
      <c r="P183" s="346">
        <f t="shared" ref="P183:P188" si="173">N183*O183</f>
        <v>414.939366</v>
      </c>
      <c r="Q183" s="350"/>
      <c r="S183" s="319" t="s">
        <v>418</v>
      </c>
      <c r="T183" s="319" t="s">
        <v>419</v>
      </c>
      <c r="W183" s="345" t="s">
        <v>568</v>
      </c>
      <c r="X183" s="346"/>
      <c r="Y183" s="347">
        <v>1.0</v>
      </c>
      <c r="Z183" s="348">
        <v>511.2</v>
      </c>
      <c r="AA183" s="348">
        <v>509.025</v>
      </c>
      <c r="AB183" s="349">
        <f t="shared" ref="AB183:AB188" si="174">Z183-AA183</f>
        <v>2.175</v>
      </c>
      <c r="AC183" s="347">
        <v>388.6</v>
      </c>
      <c r="AD183" s="347">
        <v>411.4</v>
      </c>
      <c r="AE183" s="346">
        <f t="shared" ref="AE183:AE188" si="175">AD183-AC183</f>
        <v>22.8</v>
      </c>
      <c r="AF183" s="347">
        <v>508.4</v>
      </c>
      <c r="AG183" s="347">
        <v>508.4</v>
      </c>
      <c r="AH183" s="346">
        <f t="shared" ref="AH183:AH188" si="176">AG183+AF183</f>
        <v>1016.8</v>
      </c>
      <c r="AI183" s="346">
        <f t="shared" ref="AI183:AI188" si="177">(AB183*AE183*AH183)/1000000</f>
        <v>0.050423112</v>
      </c>
      <c r="AJ183" s="347">
        <v>7820.0</v>
      </c>
      <c r="AK183" s="346">
        <f t="shared" ref="AK183:AK188" si="178">AI183*AJ183</f>
        <v>394.3087358</v>
      </c>
      <c r="AL183" s="350"/>
      <c r="AM183" s="158"/>
      <c r="AN183" s="158"/>
      <c r="AO183" s="158"/>
    </row>
    <row r="184">
      <c r="B184" s="345" t="s">
        <v>569</v>
      </c>
      <c r="C184" s="346"/>
      <c r="D184" s="347">
        <v>2.0</v>
      </c>
      <c r="E184" s="348">
        <v>511.2</v>
      </c>
      <c r="F184" s="348">
        <v>509.025</v>
      </c>
      <c r="G184" s="349">
        <f t="shared" si="169"/>
        <v>2.175</v>
      </c>
      <c r="H184" s="347">
        <v>-535.0</v>
      </c>
      <c r="I184" s="347">
        <v>535.0</v>
      </c>
      <c r="J184" s="346">
        <f t="shared" si="170"/>
        <v>1070</v>
      </c>
      <c r="K184" s="347">
        <v>228.6</v>
      </c>
      <c r="L184" s="347">
        <v>251.4</v>
      </c>
      <c r="M184" s="346">
        <f t="shared" si="171"/>
        <v>22.8</v>
      </c>
      <c r="N184" s="346">
        <f t="shared" si="172"/>
        <v>0.0530613</v>
      </c>
      <c r="O184" s="347">
        <v>7820.0</v>
      </c>
      <c r="P184" s="346">
        <f t="shared" si="173"/>
        <v>414.939366</v>
      </c>
      <c r="Q184" s="350"/>
      <c r="S184" s="319" t="s">
        <v>421</v>
      </c>
      <c r="T184" s="319" t="s">
        <v>419</v>
      </c>
      <c r="W184" s="345" t="s">
        <v>570</v>
      </c>
      <c r="X184" s="346"/>
      <c r="Y184" s="347">
        <v>2.0</v>
      </c>
      <c r="Z184" s="348">
        <v>511.2</v>
      </c>
      <c r="AA184" s="348">
        <v>509.025</v>
      </c>
      <c r="AB184" s="349">
        <f t="shared" si="174"/>
        <v>2.175</v>
      </c>
      <c r="AC184" s="347">
        <v>228.6</v>
      </c>
      <c r="AD184" s="347">
        <v>251.4</v>
      </c>
      <c r="AE184" s="346">
        <f t="shared" si="175"/>
        <v>22.8</v>
      </c>
      <c r="AF184" s="347">
        <v>508.4</v>
      </c>
      <c r="AG184" s="347">
        <v>508.4</v>
      </c>
      <c r="AH184" s="346">
        <f t="shared" si="176"/>
        <v>1016.8</v>
      </c>
      <c r="AI184" s="346">
        <f t="shared" si="177"/>
        <v>0.050423112</v>
      </c>
      <c r="AJ184" s="347">
        <v>7820.0</v>
      </c>
      <c r="AK184" s="346">
        <f t="shared" si="178"/>
        <v>394.3087358</v>
      </c>
      <c r="AL184" s="350"/>
      <c r="AM184" s="158"/>
      <c r="AN184" s="158"/>
      <c r="AO184" s="158"/>
    </row>
    <row r="185">
      <c r="B185" s="345" t="s">
        <v>571</v>
      </c>
      <c r="C185" s="346"/>
      <c r="D185" s="347">
        <v>3.0</v>
      </c>
      <c r="E185" s="348">
        <v>511.2</v>
      </c>
      <c r="F185" s="348">
        <v>509.025</v>
      </c>
      <c r="G185" s="349">
        <f t="shared" si="169"/>
        <v>2.175</v>
      </c>
      <c r="H185" s="347">
        <v>-535.0</v>
      </c>
      <c r="I185" s="347">
        <v>535.0</v>
      </c>
      <c r="J185" s="346">
        <f t="shared" si="170"/>
        <v>1070</v>
      </c>
      <c r="K185" s="347">
        <v>68.6</v>
      </c>
      <c r="L185" s="347">
        <v>91.4</v>
      </c>
      <c r="M185" s="346">
        <f t="shared" si="171"/>
        <v>22.8</v>
      </c>
      <c r="N185" s="346">
        <f t="shared" si="172"/>
        <v>0.0530613</v>
      </c>
      <c r="O185" s="347">
        <v>7820.0</v>
      </c>
      <c r="P185" s="346">
        <f t="shared" si="173"/>
        <v>414.939366</v>
      </c>
      <c r="Q185" s="350"/>
      <c r="S185" s="319" t="s">
        <v>423</v>
      </c>
      <c r="T185" s="319" t="s">
        <v>419</v>
      </c>
      <c r="W185" s="345" t="s">
        <v>572</v>
      </c>
      <c r="X185" s="346"/>
      <c r="Y185" s="347">
        <v>3.0</v>
      </c>
      <c r="Z185" s="348">
        <v>511.2</v>
      </c>
      <c r="AA185" s="348">
        <v>509.025</v>
      </c>
      <c r="AB185" s="349">
        <f t="shared" si="174"/>
        <v>2.175</v>
      </c>
      <c r="AC185" s="347">
        <v>68.6</v>
      </c>
      <c r="AD185" s="347">
        <v>91.4</v>
      </c>
      <c r="AE185" s="346">
        <f t="shared" si="175"/>
        <v>22.8</v>
      </c>
      <c r="AF185" s="347">
        <v>508.4</v>
      </c>
      <c r="AG185" s="347">
        <v>508.4</v>
      </c>
      <c r="AH185" s="346">
        <f t="shared" si="176"/>
        <v>1016.8</v>
      </c>
      <c r="AI185" s="346">
        <f t="shared" si="177"/>
        <v>0.050423112</v>
      </c>
      <c r="AJ185" s="347">
        <v>7820.0</v>
      </c>
      <c r="AK185" s="346">
        <f t="shared" si="178"/>
        <v>394.3087358</v>
      </c>
      <c r="AL185" s="350"/>
      <c r="AM185" s="158"/>
      <c r="AN185" s="158"/>
      <c r="AO185" s="158"/>
    </row>
    <row r="186">
      <c r="B186" s="345" t="s">
        <v>573</v>
      </c>
      <c r="C186" s="346"/>
      <c r="D186" s="347">
        <v>4.0</v>
      </c>
      <c r="E186" s="348">
        <v>511.2</v>
      </c>
      <c r="F186" s="348">
        <v>509.025</v>
      </c>
      <c r="G186" s="349">
        <f t="shared" si="169"/>
        <v>2.175</v>
      </c>
      <c r="H186" s="347">
        <v>-535.0</v>
      </c>
      <c r="I186" s="347">
        <v>535.0</v>
      </c>
      <c r="J186" s="346">
        <f t="shared" si="170"/>
        <v>1070</v>
      </c>
      <c r="K186" s="347">
        <v>-91.4</v>
      </c>
      <c r="L186" s="347">
        <v>-68.6</v>
      </c>
      <c r="M186" s="346">
        <f t="shared" si="171"/>
        <v>22.8</v>
      </c>
      <c r="N186" s="346">
        <f t="shared" si="172"/>
        <v>0.0530613</v>
      </c>
      <c r="O186" s="347">
        <v>7820.0</v>
      </c>
      <c r="P186" s="346">
        <f t="shared" si="173"/>
        <v>414.939366</v>
      </c>
      <c r="Q186" s="350"/>
      <c r="S186" s="319" t="s">
        <v>425</v>
      </c>
      <c r="T186" s="319" t="s">
        <v>419</v>
      </c>
      <c r="W186" s="345" t="s">
        <v>574</v>
      </c>
      <c r="X186" s="346"/>
      <c r="Y186" s="347">
        <v>4.0</v>
      </c>
      <c r="Z186" s="348">
        <v>511.2</v>
      </c>
      <c r="AA186" s="348">
        <v>509.025</v>
      </c>
      <c r="AB186" s="349">
        <f t="shared" si="174"/>
        <v>2.175</v>
      </c>
      <c r="AC186" s="347">
        <v>-91.4</v>
      </c>
      <c r="AD186" s="347">
        <v>-68.6</v>
      </c>
      <c r="AE186" s="346">
        <f t="shared" si="175"/>
        <v>22.8</v>
      </c>
      <c r="AF186" s="347">
        <v>508.4</v>
      </c>
      <c r="AG186" s="347">
        <v>508.4</v>
      </c>
      <c r="AH186" s="346">
        <f t="shared" si="176"/>
        <v>1016.8</v>
      </c>
      <c r="AI186" s="346">
        <f t="shared" si="177"/>
        <v>0.050423112</v>
      </c>
      <c r="AJ186" s="347">
        <v>7820.0</v>
      </c>
      <c r="AK186" s="346">
        <f t="shared" si="178"/>
        <v>394.3087358</v>
      </c>
      <c r="AL186" s="350"/>
      <c r="AM186" s="158"/>
      <c r="AN186" s="158"/>
      <c r="AO186" s="158"/>
    </row>
    <row r="187">
      <c r="B187" s="345" t="s">
        <v>575</v>
      </c>
      <c r="C187" s="346"/>
      <c r="D187" s="347">
        <v>5.0</v>
      </c>
      <c r="E187" s="348">
        <v>511.2</v>
      </c>
      <c r="F187" s="348">
        <v>509.025</v>
      </c>
      <c r="G187" s="349">
        <f t="shared" si="169"/>
        <v>2.175</v>
      </c>
      <c r="H187" s="347">
        <v>-535.0</v>
      </c>
      <c r="I187" s="347">
        <v>535.0</v>
      </c>
      <c r="J187" s="346">
        <f t="shared" si="170"/>
        <v>1070</v>
      </c>
      <c r="K187" s="347">
        <v>-251.4</v>
      </c>
      <c r="L187" s="347">
        <v>-228.6</v>
      </c>
      <c r="M187" s="346">
        <f t="shared" si="171"/>
        <v>22.8</v>
      </c>
      <c r="N187" s="346">
        <f t="shared" si="172"/>
        <v>0.0530613</v>
      </c>
      <c r="O187" s="347">
        <v>7820.0</v>
      </c>
      <c r="P187" s="346">
        <f t="shared" si="173"/>
        <v>414.939366</v>
      </c>
      <c r="Q187" s="350"/>
      <c r="S187" s="319" t="s">
        <v>427</v>
      </c>
      <c r="T187" s="319" t="s">
        <v>419</v>
      </c>
      <c r="W187" s="345" t="s">
        <v>576</v>
      </c>
      <c r="X187" s="346"/>
      <c r="Y187" s="347">
        <v>5.0</v>
      </c>
      <c r="Z187" s="348">
        <v>511.2</v>
      </c>
      <c r="AA187" s="348">
        <v>509.025</v>
      </c>
      <c r="AB187" s="349">
        <f t="shared" si="174"/>
        <v>2.175</v>
      </c>
      <c r="AC187" s="347">
        <v>-251.4</v>
      </c>
      <c r="AD187" s="347">
        <v>-228.6</v>
      </c>
      <c r="AE187" s="346">
        <f t="shared" si="175"/>
        <v>22.8</v>
      </c>
      <c r="AF187" s="347">
        <v>508.4</v>
      </c>
      <c r="AG187" s="347">
        <v>508.4</v>
      </c>
      <c r="AH187" s="346">
        <f t="shared" si="176"/>
        <v>1016.8</v>
      </c>
      <c r="AI187" s="346">
        <f t="shared" si="177"/>
        <v>0.050423112</v>
      </c>
      <c r="AJ187" s="347">
        <v>7820.0</v>
      </c>
      <c r="AK187" s="346">
        <f t="shared" si="178"/>
        <v>394.3087358</v>
      </c>
      <c r="AL187" s="350"/>
      <c r="AM187" s="158"/>
      <c r="AN187" s="158"/>
      <c r="AO187" s="158"/>
    </row>
    <row r="188">
      <c r="B188" s="345" t="s">
        <v>577</v>
      </c>
      <c r="C188" s="346"/>
      <c r="D188" s="347">
        <v>6.0</v>
      </c>
      <c r="E188" s="348">
        <v>511.2</v>
      </c>
      <c r="F188" s="348">
        <v>509.025</v>
      </c>
      <c r="G188" s="349">
        <f t="shared" si="169"/>
        <v>2.175</v>
      </c>
      <c r="H188" s="347">
        <v>-535.0</v>
      </c>
      <c r="I188" s="347">
        <v>535.0</v>
      </c>
      <c r="J188" s="346">
        <f t="shared" si="170"/>
        <v>1070</v>
      </c>
      <c r="K188" s="347">
        <v>-411.4</v>
      </c>
      <c r="L188" s="347">
        <v>-388.6</v>
      </c>
      <c r="M188" s="346">
        <f t="shared" si="171"/>
        <v>22.8</v>
      </c>
      <c r="N188" s="346">
        <f t="shared" si="172"/>
        <v>0.0530613</v>
      </c>
      <c r="O188" s="347">
        <v>7820.0</v>
      </c>
      <c r="P188" s="346">
        <f t="shared" si="173"/>
        <v>414.939366</v>
      </c>
      <c r="Q188" s="350"/>
      <c r="S188" s="319" t="s">
        <v>429</v>
      </c>
      <c r="T188" s="319" t="s">
        <v>419</v>
      </c>
      <c r="W188" s="345" t="s">
        <v>578</v>
      </c>
      <c r="X188" s="346"/>
      <c r="Y188" s="347">
        <v>6.0</v>
      </c>
      <c r="Z188" s="348">
        <v>511.2</v>
      </c>
      <c r="AA188" s="348">
        <v>509.025</v>
      </c>
      <c r="AB188" s="349">
        <f t="shared" si="174"/>
        <v>2.175</v>
      </c>
      <c r="AC188" s="347">
        <v>-411.4</v>
      </c>
      <c r="AD188" s="347">
        <v>-388.6</v>
      </c>
      <c r="AE188" s="346">
        <f t="shared" si="175"/>
        <v>22.8</v>
      </c>
      <c r="AF188" s="347">
        <v>508.4</v>
      </c>
      <c r="AG188" s="347">
        <v>508.4</v>
      </c>
      <c r="AH188" s="346">
        <f t="shared" si="176"/>
        <v>1016.8</v>
      </c>
      <c r="AI188" s="346">
        <f t="shared" si="177"/>
        <v>0.050423112</v>
      </c>
      <c r="AJ188" s="347">
        <v>7820.0</v>
      </c>
      <c r="AK188" s="346">
        <f t="shared" si="178"/>
        <v>394.3087358</v>
      </c>
      <c r="AL188" s="350"/>
      <c r="AM188" s="158"/>
      <c r="AN188" s="158"/>
      <c r="AO188" s="158"/>
    </row>
    <row r="189">
      <c r="B189" s="352"/>
      <c r="C189" s="346"/>
      <c r="D189" s="347" t="s">
        <v>294</v>
      </c>
      <c r="E189" s="346"/>
      <c r="F189" s="346"/>
      <c r="G189" s="346"/>
      <c r="H189" s="346"/>
      <c r="I189" s="346"/>
      <c r="J189" s="346"/>
      <c r="K189" s="346"/>
      <c r="L189" s="346"/>
      <c r="M189" s="346"/>
      <c r="N189" s="346">
        <f>SUM(N183:N188)</f>
        <v>0.3183678</v>
      </c>
      <c r="O189" s="346"/>
      <c r="P189" s="346">
        <f>SUM(P183:P188)</f>
        <v>2489.636196</v>
      </c>
      <c r="Q189" s="350"/>
      <c r="S189" s="321"/>
      <c r="T189" s="321"/>
      <c r="U189" s="321"/>
      <c r="V189" s="321"/>
      <c r="W189" s="352"/>
      <c r="X189" s="346"/>
      <c r="Y189" s="347" t="s">
        <v>294</v>
      </c>
      <c r="Z189" s="346"/>
      <c r="AA189" s="346"/>
      <c r="AB189" s="346"/>
      <c r="AC189" s="346"/>
      <c r="AD189" s="346"/>
      <c r="AE189" s="346"/>
      <c r="AF189" s="346"/>
      <c r="AG189" s="346"/>
      <c r="AH189" s="346"/>
      <c r="AI189" s="346">
        <f>SUM(AI183:AI188)</f>
        <v>0.302538672</v>
      </c>
      <c r="AJ189" s="346"/>
      <c r="AK189" s="346">
        <f>SUM(AK183:AK188)</f>
        <v>2365.852415</v>
      </c>
      <c r="AL189" s="350"/>
      <c r="AM189" s="158">
        <f>N189+AI189</f>
        <v>0.620906472</v>
      </c>
      <c r="AN189" s="158"/>
      <c r="AO189" s="158"/>
    </row>
    <row r="190">
      <c r="B190" s="355"/>
      <c r="C190" s="356"/>
      <c r="D190" s="356"/>
      <c r="E190" s="356"/>
      <c r="F190" s="356"/>
      <c r="G190" s="356"/>
      <c r="H190" s="356"/>
      <c r="I190" s="356"/>
      <c r="J190" s="356"/>
      <c r="K190" s="356"/>
      <c r="L190" s="356"/>
      <c r="M190" s="356"/>
      <c r="N190" s="356"/>
      <c r="O190" s="356"/>
      <c r="P190" s="356">
        <f>P189/1000</f>
        <v>2.489636196</v>
      </c>
      <c r="Q190" s="357" t="s">
        <v>371</v>
      </c>
      <c r="S190" s="321"/>
      <c r="T190" s="321"/>
      <c r="U190" s="321"/>
      <c r="V190" s="321"/>
      <c r="W190" s="355"/>
      <c r="X190" s="356"/>
      <c r="Y190" s="356"/>
      <c r="Z190" s="356"/>
      <c r="AA190" s="356"/>
      <c r="AB190" s="356"/>
      <c r="AC190" s="356"/>
      <c r="AD190" s="356"/>
      <c r="AE190" s="356"/>
      <c r="AF190" s="356"/>
      <c r="AG190" s="356"/>
      <c r="AH190" s="356"/>
      <c r="AI190" s="356"/>
      <c r="AJ190" s="356"/>
      <c r="AK190" s="356">
        <f>AK189/1000</f>
        <v>2.365852415</v>
      </c>
      <c r="AL190" s="357" t="s">
        <v>371</v>
      </c>
      <c r="AM190" s="307"/>
      <c r="AN190" s="307"/>
      <c r="AO190" s="307"/>
    </row>
    <row r="191">
      <c r="AM191" s="158"/>
      <c r="AN191" s="158"/>
      <c r="AO191" s="158"/>
    </row>
    <row r="192">
      <c r="AM192" s="158"/>
      <c r="AN192" s="158"/>
      <c r="AO192" s="158"/>
    </row>
    <row r="193">
      <c r="AM193" s="158"/>
      <c r="AN193" s="158"/>
      <c r="AO193" s="158"/>
    </row>
    <row r="194">
      <c r="AM194" s="158"/>
      <c r="AN194" s="158"/>
      <c r="AO194" s="158"/>
    </row>
    <row r="195">
      <c r="AM195" s="158"/>
      <c r="AN195" s="158"/>
      <c r="AO195" s="158"/>
    </row>
    <row r="196">
      <c r="AM196" s="158"/>
      <c r="AN196" s="158"/>
      <c r="AO196" s="158"/>
    </row>
    <row r="197">
      <c r="AM197" s="158"/>
      <c r="AN197" s="158"/>
      <c r="AO197" s="158"/>
    </row>
    <row r="198">
      <c r="AM198" s="158"/>
      <c r="AN198" s="158"/>
      <c r="AO198" s="158"/>
    </row>
    <row r="199">
      <c r="AM199" s="158"/>
      <c r="AN199" s="158"/>
      <c r="AO199" s="158"/>
    </row>
    <row r="200">
      <c r="AM200" s="158"/>
      <c r="AN200" s="158"/>
      <c r="AO200" s="158"/>
    </row>
    <row r="201">
      <c r="AM201" s="158"/>
      <c r="AN201" s="158"/>
      <c r="AO201" s="158"/>
    </row>
    <row r="202">
      <c r="AM202" s="158"/>
      <c r="AN202" s="158"/>
      <c r="AO202" s="158"/>
    </row>
    <row r="203">
      <c r="AM203" s="158"/>
      <c r="AN203" s="158"/>
      <c r="AO203" s="158"/>
    </row>
    <row r="204">
      <c r="AM204" s="158"/>
      <c r="AN204" s="158"/>
      <c r="AO204" s="158"/>
    </row>
    <row r="205">
      <c r="AM205" s="158"/>
      <c r="AN205" s="158"/>
      <c r="AO205" s="158"/>
    </row>
    <row r="206">
      <c r="AM206" s="158"/>
      <c r="AN206" s="158"/>
      <c r="AO206" s="158"/>
    </row>
    <row r="207">
      <c r="AM207" s="158"/>
      <c r="AN207" s="158"/>
      <c r="AO207" s="158"/>
    </row>
    <row r="208">
      <c r="AM208" s="158"/>
      <c r="AN208" s="158"/>
      <c r="AO208" s="158"/>
    </row>
    <row r="209">
      <c r="AM209" s="158"/>
      <c r="AN209" s="158"/>
      <c r="AO209" s="158"/>
    </row>
    <row r="210">
      <c r="AM210" s="158"/>
      <c r="AN210" s="158"/>
      <c r="AO210" s="158"/>
    </row>
    <row r="211">
      <c r="AM211" s="158"/>
      <c r="AN211" s="158"/>
      <c r="AO211" s="158"/>
    </row>
    <row r="212">
      <c r="AM212" s="158"/>
      <c r="AN212" s="158"/>
      <c r="AO212" s="158"/>
    </row>
    <row r="213">
      <c r="AM213" s="158"/>
      <c r="AN213" s="158"/>
      <c r="AO213" s="158"/>
    </row>
    <row r="214">
      <c r="AM214" s="158"/>
      <c r="AN214" s="158"/>
      <c r="AO214" s="158"/>
    </row>
    <row r="215">
      <c r="AM215" s="158"/>
      <c r="AN215" s="158"/>
      <c r="AO215" s="158"/>
    </row>
    <row r="216">
      <c r="AM216" s="158"/>
      <c r="AN216" s="158"/>
      <c r="AO216" s="158"/>
    </row>
    <row r="217">
      <c r="AM217" s="158"/>
      <c r="AN217" s="158"/>
      <c r="AO217" s="158"/>
    </row>
    <row r="218">
      <c r="AM218" s="158"/>
      <c r="AN218" s="158"/>
      <c r="AO218" s="158"/>
    </row>
    <row r="219">
      <c r="AM219" s="158"/>
      <c r="AN219" s="158"/>
      <c r="AO219" s="158"/>
    </row>
    <row r="220">
      <c r="AM220" s="158"/>
      <c r="AN220" s="158"/>
      <c r="AO220" s="158"/>
    </row>
    <row r="221">
      <c r="AM221" s="158"/>
      <c r="AN221" s="158"/>
      <c r="AO221" s="158"/>
    </row>
    <row r="222">
      <c r="AM222" s="158"/>
      <c r="AN222" s="158"/>
      <c r="AO222" s="158"/>
    </row>
    <row r="223">
      <c r="AM223" s="158"/>
      <c r="AN223" s="158"/>
      <c r="AO223" s="158"/>
    </row>
    <row r="224">
      <c r="AM224" s="158"/>
      <c r="AN224" s="158"/>
      <c r="AO224" s="158"/>
    </row>
    <row r="225">
      <c r="AM225" s="158"/>
      <c r="AN225" s="158"/>
      <c r="AO225" s="158"/>
    </row>
    <row r="226">
      <c r="AM226" s="158"/>
      <c r="AN226" s="158"/>
      <c r="AO226" s="158"/>
    </row>
    <row r="227">
      <c r="AM227" s="158"/>
      <c r="AN227" s="158"/>
      <c r="AO227" s="158"/>
    </row>
    <row r="228">
      <c r="AM228" s="158"/>
      <c r="AN228" s="158"/>
      <c r="AO228" s="158"/>
    </row>
    <row r="229">
      <c r="AM229" s="158"/>
      <c r="AN229" s="158"/>
      <c r="AO229" s="158"/>
    </row>
    <row r="230">
      <c r="AM230" s="158"/>
      <c r="AN230" s="158"/>
      <c r="AO230" s="158"/>
    </row>
    <row r="231">
      <c r="AM231" s="158"/>
      <c r="AN231" s="158"/>
      <c r="AO231" s="158"/>
    </row>
    <row r="232">
      <c r="AM232" s="158"/>
      <c r="AN232" s="158"/>
      <c r="AO232" s="158"/>
    </row>
    <row r="233">
      <c r="AM233" s="158"/>
      <c r="AN233" s="158"/>
      <c r="AO233" s="158"/>
    </row>
    <row r="234">
      <c r="AM234" s="158"/>
      <c r="AN234" s="158"/>
      <c r="AO234" s="158"/>
    </row>
    <row r="235">
      <c r="AM235" s="158"/>
      <c r="AN235" s="158"/>
      <c r="AO235" s="158"/>
    </row>
    <row r="236">
      <c r="AM236" s="158"/>
      <c r="AN236" s="158"/>
      <c r="AO236" s="158"/>
    </row>
    <row r="237">
      <c r="AM237" s="158"/>
      <c r="AN237" s="158"/>
      <c r="AO237" s="158"/>
    </row>
    <row r="238">
      <c r="AM238" s="158"/>
      <c r="AN238" s="158"/>
      <c r="AO238" s="158"/>
    </row>
    <row r="239">
      <c r="AM239" s="158"/>
      <c r="AN239" s="158"/>
      <c r="AO239" s="158"/>
    </row>
    <row r="240">
      <c r="AM240" s="158"/>
      <c r="AN240" s="158"/>
      <c r="AO240" s="158"/>
    </row>
    <row r="241">
      <c r="AM241" s="158"/>
      <c r="AN241" s="158"/>
      <c r="AO241" s="158"/>
    </row>
    <row r="242">
      <c r="AM242" s="158"/>
      <c r="AN242" s="158"/>
      <c r="AO242" s="158"/>
    </row>
    <row r="243">
      <c r="AM243" s="158"/>
      <c r="AN243" s="158"/>
      <c r="AO243" s="158"/>
    </row>
    <row r="244">
      <c r="AM244" s="158"/>
      <c r="AN244" s="158"/>
      <c r="AO244" s="158"/>
    </row>
    <row r="245">
      <c r="AM245" s="158"/>
      <c r="AN245" s="158"/>
      <c r="AO245" s="158"/>
    </row>
    <row r="246">
      <c r="AM246" s="158"/>
      <c r="AN246" s="158"/>
      <c r="AO246" s="158"/>
    </row>
    <row r="247">
      <c r="AM247" s="158"/>
      <c r="AN247" s="158"/>
      <c r="AO247" s="158"/>
    </row>
    <row r="248">
      <c r="AM248" s="158"/>
      <c r="AN248" s="158"/>
      <c r="AO248" s="158"/>
    </row>
    <row r="249">
      <c r="AM249" s="158"/>
      <c r="AN249" s="158"/>
      <c r="AO249" s="158"/>
    </row>
    <row r="250">
      <c r="AM250" s="158"/>
      <c r="AN250" s="158"/>
      <c r="AO250" s="158"/>
    </row>
    <row r="251">
      <c r="AM251" s="158"/>
      <c r="AN251" s="158"/>
      <c r="AO251" s="158"/>
    </row>
    <row r="252">
      <c r="AM252" s="158"/>
      <c r="AN252" s="158"/>
      <c r="AO252" s="158"/>
    </row>
    <row r="253">
      <c r="AM253" s="158"/>
      <c r="AN253" s="158"/>
      <c r="AO253" s="158"/>
    </row>
    <row r="254">
      <c r="AM254" s="158"/>
      <c r="AN254" s="158"/>
      <c r="AO254" s="158"/>
    </row>
    <row r="255">
      <c r="AM255" s="158"/>
      <c r="AN255" s="158"/>
      <c r="AO255" s="158"/>
    </row>
    <row r="256">
      <c r="AM256" s="158"/>
      <c r="AN256" s="158"/>
      <c r="AO256" s="158"/>
    </row>
    <row r="257">
      <c r="AM257" s="158"/>
      <c r="AN257" s="158"/>
      <c r="AO257" s="158"/>
    </row>
    <row r="258">
      <c r="AM258" s="158"/>
      <c r="AN258" s="158"/>
      <c r="AO258" s="158"/>
    </row>
    <row r="259">
      <c r="AM259" s="158"/>
      <c r="AN259" s="158"/>
      <c r="AO259" s="158"/>
    </row>
    <row r="260">
      <c r="AM260" s="158"/>
      <c r="AN260" s="158"/>
      <c r="AO260" s="158"/>
    </row>
    <row r="261">
      <c r="AM261" s="158"/>
      <c r="AN261" s="158"/>
      <c r="AO261" s="158"/>
    </row>
    <row r="262">
      <c r="AM262" s="158"/>
      <c r="AN262" s="158"/>
      <c r="AO262" s="158"/>
    </row>
    <row r="263">
      <c r="AM263" s="158"/>
      <c r="AN263" s="158"/>
      <c r="AO263" s="158"/>
    </row>
    <row r="264">
      <c r="AM264" s="158"/>
      <c r="AN264" s="158"/>
      <c r="AO264" s="158"/>
    </row>
    <row r="265">
      <c r="AM265" s="158"/>
      <c r="AN265" s="158"/>
      <c r="AO265" s="158"/>
    </row>
    <row r="266">
      <c r="AM266" s="158"/>
      <c r="AN266" s="158"/>
      <c r="AO266" s="158"/>
    </row>
    <row r="267">
      <c r="AM267" s="158"/>
      <c r="AN267" s="158"/>
      <c r="AO267" s="158"/>
    </row>
    <row r="268">
      <c r="AM268" s="158"/>
      <c r="AN268" s="158"/>
      <c r="AO268" s="158"/>
    </row>
    <row r="269">
      <c r="AM269" s="158"/>
      <c r="AN269" s="158"/>
      <c r="AO269" s="158"/>
    </row>
    <row r="270">
      <c r="AM270" s="158"/>
      <c r="AN270" s="158"/>
      <c r="AO270" s="158"/>
    </row>
    <row r="271">
      <c r="AM271" s="158"/>
      <c r="AN271" s="158"/>
      <c r="AO271" s="158"/>
    </row>
    <row r="272">
      <c r="AM272" s="158"/>
      <c r="AN272" s="158"/>
      <c r="AO272" s="158"/>
    </row>
    <row r="273">
      <c r="AM273" s="158"/>
      <c r="AN273" s="158"/>
      <c r="AO273" s="158"/>
    </row>
    <row r="274">
      <c r="AM274" s="158"/>
      <c r="AN274" s="158"/>
      <c r="AO274" s="158"/>
    </row>
    <row r="275">
      <c r="AM275" s="158"/>
      <c r="AN275" s="158"/>
      <c r="AO275" s="158"/>
    </row>
    <row r="276">
      <c r="AM276" s="158"/>
      <c r="AN276" s="158"/>
      <c r="AO276" s="158"/>
    </row>
    <row r="277">
      <c r="AM277" s="158"/>
      <c r="AN277" s="158"/>
      <c r="AO277" s="158"/>
    </row>
    <row r="278">
      <c r="AM278" s="158"/>
      <c r="AN278" s="158"/>
      <c r="AO278" s="158"/>
    </row>
    <row r="279">
      <c r="AM279" s="158"/>
      <c r="AN279" s="158"/>
      <c r="AO279" s="158"/>
    </row>
    <row r="280">
      <c r="AM280" s="158"/>
      <c r="AN280" s="158"/>
      <c r="AO280" s="158"/>
    </row>
    <row r="281">
      <c r="AM281" s="158"/>
      <c r="AN281" s="158"/>
      <c r="AO281" s="158"/>
    </row>
    <row r="282">
      <c r="AM282" s="158"/>
      <c r="AN282" s="158"/>
      <c r="AO282" s="158"/>
    </row>
    <row r="283">
      <c r="AM283" s="158"/>
      <c r="AN283" s="158"/>
      <c r="AO283" s="158"/>
    </row>
    <row r="284">
      <c r="AM284" s="158"/>
      <c r="AN284" s="158"/>
      <c r="AO284" s="158"/>
    </row>
    <row r="285">
      <c r="AM285" s="158"/>
      <c r="AN285" s="158"/>
      <c r="AO285" s="158"/>
    </row>
    <row r="286">
      <c r="AM286" s="158"/>
      <c r="AN286" s="158"/>
      <c r="AO286" s="158"/>
    </row>
    <row r="287">
      <c r="AM287" s="158"/>
      <c r="AN287" s="158"/>
      <c r="AO287" s="158"/>
    </row>
    <row r="288">
      <c r="AM288" s="158"/>
      <c r="AN288" s="158"/>
      <c r="AO288" s="158"/>
    </row>
    <row r="289">
      <c r="AM289" s="158"/>
      <c r="AN289" s="158"/>
      <c r="AO289" s="158"/>
    </row>
    <row r="290">
      <c r="AM290" s="158"/>
      <c r="AN290" s="158"/>
      <c r="AO290" s="158"/>
    </row>
    <row r="291">
      <c r="AM291" s="158"/>
      <c r="AN291" s="158"/>
      <c r="AO291" s="158"/>
    </row>
    <row r="292">
      <c r="AM292" s="158"/>
      <c r="AN292" s="158"/>
      <c r="AO292" s="158"/>
    </row>
    <row r="293">
      <c r="AM293" s="158"/>
      <c r="AN293" s="158"/>
      <c r="AO293" s="158"/>
    </row>
    <row r="294">
      <c r="AM294" s="158"/>
      <c r="AN294" s="158"/>
      <c r="AO294" s="158"/>
    </row>
    <row r="295">
      <c r="AM295" s="158"/>
      <c r="AN295" s="158"/>
      <c r="AO295" s="158"/>
    </row>
    <row r="296">
      <c r="AM296" s="158"/>
      <c r="AN296" s="158"/>
      <c r="AO296" s="158"/>
    </row>
    <row r="297">
      <c r="AM297" s="158"/>
      <c r="AN297" s="158"/>
      <c r="AO297" s="158"/>
    </row>
    <row r="298">
      <c r="AM298" s="158"/>
      <c r="AN298" s="158"/>
      <c r="AO298" s="158"/>
    </row>
    <row r="299">
      <c r="AM299" s="158"/>
      <c r="AN299" s="158"/>
      <c r="AO299" s="158"/>
    </row>
    <row r="300">
      <c r="AM300" s="158"/>
      <c r="AN300" s="158"/>
      <c r="AO300" s="158"/>
    </row>
    <row r="301">
      <c r="AM301" s="158"/>
      <c r="AN301" s="158"/>
      <c r="AO301" s="158"/>
    </row>
    <row r="302">
      <c r="AM302" s="158"/>
      <c r="AN302" s="158"/>
      <c r="AO302" s="158"/>
    </row>
    <row r="303">
      <c r="AM303" s="158"/>
      <c r="AN303" s="158"/>
      <c r="AO303" s="158"/>
    </row>
    <row r="304">
      <c r="AM304" s="158"/>
      <c r="AN304" s="158"/>
      <c r="AO304" s="158"/>
    </row>
    <row r="305">
      <c r="AM305" s="158"/>
      <c r="AN305" s="158"/>
      <c r="AO305" s="158"/>
    </row>
    <row r="306">
      <c r="AM306" s="158"/>
      <c r="AN306" s="158"/>
      <c r="AO306" s="158"/>
    </row>
    <row r="307">
      <c r="AM307" s="158"/>
      <c r="AN307" s="158"/>
      <c r="AO307" s="158"/>
    </row>
    <row r="308">
      <c r="AM308" s="158"/>
      <c r="AN308" s="158"/>
      <c r="AO308" s="158"/>
    </row>
    <row r="309">
      <c r="AM309" s="158"/>
      <c r="AN309" s="158"/>
      <c r="AO309" s="158"/>
    </row>
    <row r="310">
      <c r="AM310" s="158"/>
      <c r="AN310" s="158"/>
      <c r="AO310" s="158"/>
    </row>
    <row r="311">
      <c r="AM311" s="158"/>
      <c r="AN311" s="158"/>
      <c r="AO311" s="158"/>
    </row>
    <row r="312">
      <c r="AM312" s="158"/>
      <c r="AN312" s="158"/>
      <c r="AO312" s="158"/>
    </row>
    <row r="313">
      <c r="AM313" s="158"/>
      <c r="AN313" s="158"/>
      <c r="AO313" s="158"/>
    </row>
    <row r="314">
      <c r="AM314" s="158"/>
      <c r="AN314" s="158"/>
      <c r="AO314" s="158"/>
    </row>
    <row r="315">
      <c r="AM315" s="158"/>
      <c r="AN315" s="158"/>
      <c r="AO315" s="158"/>
    </row>
    <row r="316">
      <c r="AM316" s="158"/>
      <c r="AN316" s="158"/>
      <c r="AO316" s="158"/>
    </row>
    <row r="317">
      <c r="AM317" s="158"/>
      <c r="AN317" s="158"/>
      <c r="AO317" s="158"/>
    </row>
    <row r="318">
      <c r="AM318" s="158"/>
      <c r="AN318" s="158"/>
      <c r="AO318" s="158"/>
    </row>
    <row r="319">
      <c r="AM319" s="158"/>
      <c r="AN319" s="158"/>
      <c r="AO319" s="158"/>
    </row>
    <row r="320">
      <c r="AM320" s="158"/>
      <c r="AN320" s="158"/>
      <c r="AO320" s="158"/>
    </row>
    <row r="321">
      <c r="AM321" s="158"/>
      <c r="AN321" s="158"/>
      <c r="AO321" s="158"/>
    </row>
    <row r="322">
      <c r="AM322" s="158"/>
      <c r="AN322" s="158"/>
      <c r="AO322" s="158"/>
    </row>
    <row r="323">
      <c r="AM323" s="158"/>
      <c r="AN323" s="158"/>
      <c r="AO323" s="158"/>
    </row>
    <row r="324">
      <c r="AM324" s="158"/>
      <c r="AN324" s="158"/>
      <c r="AO324" s="158"/>
    </row>
    <row r="325">
      <c r="AM325" s="158"/>
      <c r="AN325" s="158"/>
      <c r="AO325" s="158"/>
    </row>
    <row r="326">
      <c r="AM326" s="158"/>
      <c r="AN326" s="158"/>
      <c r="AO326" s="158"/>
    </row>
    <row r="327">
      <c r="AM327" s="158"/>
      <c r="AN327" s="158"/>
      <c r="AO327" s="158"/>
    </row>
    <row r="328">
      <c r="AM328" s="158"/>
      <c r="AN328" s="158"/>
      <c r="AO328" s="158"/>
    </row>
    <row r="329">
      <c r="AM329" s="158"/>
      <c r="AN329" s="158"/>
      <c r="AO329" s="158"/>
    </row>
    <row r="330">
      <c r="AM330" s="158"/>
      <c r="AN330" s="158"/>
      <c r="AO330" s="158"/>
    </row>
    <row r="331">
      <c r="AM331" s="158"/>
      <c r="AN331" s="158"/>
      <c r="AO331" s="158"/>
    </row>
    <row r="332">
      <c r="AM332" s="158"/>
      <c r="AN332" s="158"/>
      <c r="AO332" s="158"/>
    </row>
    <row r="333">
      <c r="AM333" s="158"/>
      <c r="AN333" s="158"/>
      <c r="AO333" s="158"/>
    </row>
    <row r="334">
      <c r="AM334" s="158"/>
      <c r="AN334" s="158"/>
      <c r="AO334" s="158"/>
    </row>
    <row r="335">
      <c r="AM335" s="158"/>
      <c r="AN335" s="158"/>
      <c r="AO335" s="158"/>
    </row>
    <row r="336">
      <c r="AM336" s="158"/>
      <c r="AN336" s="158"/>
      <c r="AO336" s="158"/>
    </row>
    <row r="337">
      <c r="AM337" s="158"/>
      <c r="AN337" s="158"/>
      <c r="AO337" s="158"/>
    </row>
    <row r="338">
      <c r="AM338" s="158"/>
      <c r="AN338" s="158"/>
      <c r="AO338" s="158"/>
    </row>
    <row r="339">
      <c r="AM339" s="158"/>
      <c r="AN339" s="158"/>
      <c r="AO339" s="158"/>
    </row>
    <row r="340">
      <c r="AM340" s="158"/>
      <c r="AN340" s="158"/>
      <c r="AO340" s="158"/>
    </row>
    <row r="341">
      <c r="AM341" s="158"/>
      <c r="AN341" s="158"/>
      <c r="AO341" s="158"/>
    </row>
    <row r="342">
      <c r="AM342" s="158"/>
      <c r="AN342" s="158"/>
      <c r="AO342" s="158"/>
    </row>
    <row r="343">
      <c r="AM343" s="158"/>
      <c r="AN343" s="158"/>
      <c r="AO343" s="158"/>
    </row>
    <row r="344">
      <c r="AM344" s="158"/>
      <c r="AN344" s="158"/>
      <c r="AO344" s="158"/>
    </row>
    <row r="345">
      <c r="AM345" s="158"/>
      <c r="AN345" s="158"/>
      <c r="AO345" s="158"/>
    </row>
    <row r="346">
      <c r="AM346" s="158"/>
      <c r="AN346" s="158"/>
      <c r="AO346" s="158"/>
    </row>
    <row r="347">
      <c r="AM347" s="158"/>
      <c r="AN347" s="158"/>
      <c r="AO347" s="158"/>
    </row>
    <row r="348">
      <c r="AM348" s="158"/>
      <c r="AN348" s="158"/>
      <c r="AO348" s="158"/>
    </row>
    <row r="349">
      <c r="AM349" s="158"/>
      <c r="AN349" s="158"/>
      <c r="AO349" s="158"/>
    </row>
    <row r="350">
      <c r="AM350" s="158"/>
      <c r="AN350" s="158"/>
      <c r="AO350" s="158"/>
    </row>
    <row r="351">
      <c r="AM351" s="158"/>
      <c r="AN351" s="158"/>
      <c r="AO351" s="158"/>
    </row>
    <row r="352">
      <c r="AM352" s="158"/>
      <c r="AN352" s="158"/>
      <c r="AO352" s="158"/>
    </row>
    <row r="353">
      <c r="AM353" s="158"/>
      <c r="AN353" s="158"/>
      <c r="AO353" s="158"/>
    </row>
    <row r="354">
      <c r="AM354" s="158"/>
      <c r="AN354" s="158"/>
      <c r="AO354" s="158"/>
    </row>
    <row r="355">
      <c r="AM355" s="158"/>
      <c r="AN355" s="158"/>
      <c r="AO355" s="158"/>
    </row>
    <row r="356">
      <c r="AM356" s="158"/>
      <c r="AN356" s="158"/>
      <c r="AO356" s="158"/>
    </row>
    <row r="357">
      <c r="AM357" s="158"/>
      <c r="AN357" s="158"/>
      <c r="AO357" s="158"/>
    </row>
    <row r="358">
      <c r="AM358" s="158"/>
      <c r="AN358" s="158"/>
      <c r="AO358" s="158"/>
    </row>
    <row r="359">
      <c r="AM359" s="158"/>
      <c r="AN359" s="158"/>
      <c r="AO359" s="158"/>
    </row>
    <row r="360">
      <c r="AM360" s="158"/>
      <c r="AN360" s="158"/>
      <c r="AO360" s="158"/>
    </row>
    <row r="361">
      <c r="AM361" s="158"/>
      <c r="AN361" s="158"/>
      <c r="AO361" s="158"/>
    </row>
    <row r="362">
      <c r="AM362" s="158"/>
      <c r="AN362" s="158"/>
      <c r="AO362" s="158"/>
    </row>
    <row r="363">
      <c r="AM363" s="158"/>
      <c r="AN363" s="158"/>
      <c r="AO363" s="158"/>
    </row>
    <row r="364">
      <c r="AM364" s="158"/>
      <c r="AN364" s="158"/>
      <c r="AO364" s="158"/>
    </row>
    <row r="365">
      <c r="AM365" s="158"/>
      <c r="AN365" s="158"/>
      <c r="AO365" s="158"/>
    </row>
    <row r="366">
      <c r="AM366" s="158"/>
      <c r="AN366" s="158"/>
      <c r="AO366" s="158"/>
    </row>
    <row r="367">
      <c r="AM367" s="158"/>
      <c r="AN367" s="158"/>
      <c r="AO367" s="158"/>
    </row>
    <row r="368">
      <c r="AM368" s="158"/>
      <c r="AN368" s="158"/>
      <c r="AO368" s="158"/>
    </row>
    <row r="369">
      <c r="AM369" s="158"/>
      <c r="AN369" s="158"/>
      <c r="AO369" s="158"/>
    </row>
    <row r="370">
      <c r="AM370" s="158"/>
      <c r="AN370" s="158"/>
      <c r="AO370" s="158"/>
    </row>
    <row r="371">
      <c r="AM371" s="158"/>
      <c r="AN371" s="158"/>
      <c r="AO371" s="158"/>
    </row>
    <row r="372">
      <c r="AM372" s="158"/>
      <c r="AN372" s="158"/>
      <c r="AO372" s="158"/>
    </row>
    <row r="373">
      <c r="AM373" s="158"/>
      <c r="AN373" s="158"/>
      <c r="AO373" s="158"/>
    </row>
    <row r="374">
      <c r="AM374" s="158"/>
      <c r="AN374" s="158"/>
      <c r="AO374" s="158"/>
    </row>
    <row r="375">
      <c r="AM375" s="158"/>
      <c r="AN375" s="158"/>
      <c r="AO375" s="158"/>
    </row>
    <row r="376">
      <c r="AM376" s="158"/>
      <c r="AN376" s="158"/>
      <c r="AO376" s="158"/>
    </row>
    <row r="377">
      <c r="AM377" s="158"/>
      <c r="AN377" s="158"/>
      <c r="AO377" s="158"/>
    </row>
    <row r="378">
      <c r="AM378" s="158"/>
      <c r="AN378" s="158"/>
      <c r="AO378" s="158"/>
    </row>
    <row r="379">
      <c r="AM379" s="158"/>
      <c r="AN379" s="158"/>
      <c r="AO379" s="158"/>
    </row>
    <row r="380">
      <c r="AM380" s="158"/>
      <c r="AN380" s="158"/>
      <c r="AO380" s="158"/>
    </row>
    <row r="381">
      <c r="AM381" s="158"/>
      <c r="AN381" s="158"/>
      <c r="AO381" s="158"/>
    </row>
    <row r="382">
      <c r="AM382" s="158"/>
      <c r="AN382" s="158"/>
      <c r="AO382" s="158"/>
    </row>
    <row r="383">
      <c r="AM383" s="158"/>
      <c r="AN383" s="158"/>
      <c r="AO383" s="158"/>
    </row>
    <row r="384">
      <c r="AM384" s="158"/>
      <c r="AN384" s="158"/>
      <c r="AO384" s="158"/>
    </row>
    <row r="385">
      <c r="AM385" s="158"/>
      <c r="AN385" s="158"/>
      <c r="AO385" s="158"/>
    </row>
    <row r="386">
      <c r="AM386" s="158"/>
      <c r="AN386" s="158"/>
      <c r="AO386" s="158"/>
    </row>
    <row r="387">
      <c r="AM387" s="158"/>
      <c r="AN387" s="158"/>
      <c r="AO387" s="158"/>
    </row>
    <row r="388">
      <c r="AM388" s="158"/>
      <c r="AN388" s="158"/>
      <c r="AO388" s="158"/>
    </row>
    <row r="389">
      <c r="AM389" s="158"/>
      <c r="AN389" s="158"/>
      <c r="AO389" s="158"/>
    </row>
    <row r="390">
      <c r="AM390" s="158"/>
      <c r="AN390" s="158"/>
      <c r="AO390" s="158"/>
    </row>
    <row r="391">
      <c r="AM391" s="158"/>
      <c r="AN391" s="158"/>
      <c r="AO391" s="158"/>
    </row>
    <row r="392">
      <c r="AM392" s="158"/>
      <c r="AN392" s="158"/>
      <c r="AO392" s="158"/>
    </row>
    <row r="393">
      <c r="AM393" s="158"/>
      <c r="AN393" s="158"/>
      <c r="AO393" s="158"/>
    </row>
    <row r="394">
      <c r="AM394" s="158"/>
      <c r="AN394" s="158"/>
      <c r="AO394" s="158"/>
    </row>
    <row r="395">
      <c r="AM395" s="158"/>
      <c r="AN395" s="158"/>
      <c r="AO395" s="158"/>
    </row>
    <row r="396">
      <c r="AM396" s="158"/>
      <c r="AN396" s="158"/>
      <c r="AO396" s="158"/>
    </row>
    <row r="397">
      <c r="AM397" s="158"/>
      <c r="AN397" s="158"/>
      <c r="AO397" s="158"/>
    </row>
    <row r="398">
      <c r="AM398" s="158"/>
      <c r="AN398" s="158"/>
      <c r="AO398" s="158"/>
    </row>
    <row r="399">
      <c r="AM399" s="158"/>
      <c r="AN399" s="158"/>
      <c r="AO399" s="158"/>
    </row>
    <row r="400">
      <c r="AM400" s="158"/>
      <c r="AN400" s="158"/>
      <c r="AO400" s="158"/>
    </row>
    <row r="401">
      <c r="AM401" s="158"/>
      <c r="AN401" s="158"/>
      <c r="AO401" s="158"/>
    </row>
    <row r="402">
      <c r="AM402" s="158"/>
      <c r="AN402" s="158"/>
      <c r="AO402" s="158"/>
    </row>
    <row r="403">
      <c r="AM403" s="158"/>
      <c r="AN403" s="158"/>
      <c r="AO403" s="158"/>
    </row>
    <row r="404">
      <c r="AM404" s="158"/>
      <c r="AN404" s="158"/>
      <c r="AO404" s="158"/>
    </row>
    <row r="405">
      <c r="AM405" s="158"/>
      <c r="AN405" s="158"/>
      <c r="AO405" s="158"/>
    </row>
    <row r="406">
      <c r="AM406" s="158"/>
      <c r="AN406" s="158"/>
      <c r="AO406" s="158"/>
    </row>
    <row r="407">
      <c r="AM407" s="158"/>
      <c r="AN407" s="158"/>
      <c r="AO407" s="158"/>
    </row>
    <row r="408">
      <c r="AM408" s="158"/>
      <c r="AN408" s="158"/>
      <c r="AO408" s="158"/>
    </row>
    <row r="409">
      <c r="AM409" s="158"/>
      <c r="AN409" s="158"/>
      <c r="AO409" s="158"/>
    </row>
    <row r="410">
      <c r="AM410" s="158"/>
      <c r="AN410" s="158"/>
      <c r="AO410" s="158"/>
    </row>
    <row r="411">
      <c r="AM411" s="158"/>
      <c r="AN411" s="158"/>
      <c r="AO411" s="158"/>
    </row>
    <row r="412">
      <c r="AM412" s="158"/>
      <c r="AN412" s="158"/>
      <c r="AO412" s="158"/>
    </row>
    <row r="413">
      <c r="AM413" s="158"/>
      <c r="AN413" s="158"/>
      <c r="AO413" s="158"/>
    </row>
    <row r="414">
      <c r="AM414" s="158"/>
      <c r="AN414" s="158"/>
      <c r="AO414" s="158"/>
    </row>
    <row r="415">
      <c r="AM415" s="158"/>
      <c r="AN415" s="158"/>
      <c r="AO415" s="158"/>
    </row>
    <row r="416">
      <c r="AM416" s="158"/>
      <c r="AN416" s="158"/>
      <c r="AO416" s="158"/>
    </row>
    <row r="417">
      <c r="AM417" s="158"/>
      <c r="AN417" s="158"/>
      <c r="AO417" s="158"/>
    </row>
    <row r="418">
      <c r="AM418" s="158"/>
      <c r="AN418" s="158"/>
      <c r="AO418" s="158"/>
    </row>
    <row r="419">
      <c r="AM419" s="158"/>
      <c r="AN419" s="158"/>
      <c r="AO419" s="158"/>
    </row>
    <row r="420">
      <c r="AM420" s="158"/>
      <c r="AN420" s="158"/>
      <c r="AO420" s="158"/>
    </row>
    <row r="421">
      <c r="AM421" s="158"/>
      <c r="AN421" s="158"/>
      <c r="AO421" s="158"/>
    </row>
    <row r="422">
      <c r="AM422" s="158"/>
      <c r="AN422" s="158"/>
      <c r="AO422" s="158"/>
    </row>
    <row r="423">
      <c r="AM423" s="158"/>
      <c r="AN423" s="158"/>
      <c r="AO423" s="158"/>
    </row>
    <row r="424">
      <c r="AM424" s="158"/>
      <c r="AN424" s="158"/>
      <c r="AO424" s="158"/>
    </row>
    <row r="425">
      <c r="AM425" s="158"/>
      <c r="AN425" s="158"/>
      <c r="AO425" s="158"/>
    </row>
    <row r="426">
      <c r="AM426" s="158"/>
      <c r="AN426" s="158"/>
      <c r="AO426" s="158"/>
    </row>
    <row r="427">
      <c r="AM427" s="158"/>
      <c r="AN427" s="158"/>
      <c r="AO427" s="158"/>
    </row>
    <row r="428">
      <c r="AM428" s="158"/>
      <c r="AN428" s="158"/>
      <c r="AO428" s="158"/>
    </row>
    <row r="429">
      <c r="AM429" s="158"/>
      <c r="AN429" s="158"/>
      <c r="AO429" s="158"/>
    </row>
    <row r="430">
      <c r="AM430" s="158"/>
      <c r="AN430" s="158"/>
      <c r="AO430" s="158"/>
    </row>
    <row r="431">
      <c r="AM431" s="158"/>
      <c r="AN431" s="158"/>
      <c r="AO431" s="158"/>
    </row>
    <row r="432">
      <c r="AM432" s="158"/>
      <c r="AN432" s="158"/>
      <c r="AO432" s="158"/>
    </row>
    <row r="433">
      <c r="AM433" s="158"/>
      <c r="AN433" s="158"/>
      <c r="AO433" s="158"/>
    </row>
    <row r="434">
      <c r="AM434" s="158"/>
      <c r="AN434" s="158"/>
      <c r="AO434" s="158"/>
    </row>
    <row r="435">
      <c r="AM435" s="158"/>
      <c r="AN435" s="158"/>
      <c r="AO435" s="158"/>
    </row>
    <row r="436">
      <c r="AM436" s="158"/>
      <c r="AN436" s="158"/>
      <c r="AO436" s="158"/>
    </row>
    <row r="437">
      <c r="AM437" s="158"/>
      <c r="AN437" s="158"/>
      <c r="AO437" s="158"/>
    </row>
    <row r="438">
      <c r="AM438" s="158"/>
      <c r="AN438" s="158"/>
      <c r="AO438" s="158"/>
    </row>
    <row r="439">
      <c r="AM439" s="158"/>
      <c r="AN439" s="158"/>
      <c r="AO439" s="158"/>
    </row>
    <row r="440">
      <c r="AM440" s="158"/>
      <c r="AN440" s="158"/>
      <c r="AO440" s="158"/>
    </row>
    <row r="441">
      <c r="AM441" s="158"/>
      <c r="AN441" s="158"/>
      <c r="AO441" s="158"/>
    </row>
    <row r="442">
      <c r="AM442" s="158"/>
      <c r="AN442" s="158"/>
      <c r="AO442" s="158"/>
    </row>
    <row r="443">
      <c r="AM443" s="158"/>
      <c r="AN443" s="158"/>
      <c r="AO443" s="158"/>
    </row>
    <row r="444">
      <c r="AM444" s="158"/>
      <c r="AN444" s="158"/>
      <c r="AO444" s="158"/>
    </row>
    <row r="445">
      <c r="AM445" s="158"/>
      <c r="AN445" s="158"/>
      <c r="AO445" s="158"/>
    </row>
    <row r="446">
      <c r="AM446" s="158"/>
      <c r="AN446" s="158"/>
      <c r="AO446" s="158"/>
    </row>
    <row r="447">
      <c r="AM447" s="158"/>
      <c r="AN447" s="158"/>
      <c r="AO447" s="158"/>
    </row>
    <row r="448">
      <c r="AM448" s="158"/>
      <c r="AN448" s="158"/>
      <c r="AO448" s="158"/>
    </row>
    <row r="449">
      <c r="AM449" s="158"/>
      <c r="AN449" s="158"/>
      <c r="AO449" s="158"/>
    </row>
    <row r="450">
      <c r="AM450" s="158"/>
      <c r="AN450" s="158"/>
      <c r="AO450" s="158"/>
    </row>
    <row r="451">
      <c r="AM451" s="158"/>
      <c r="AN451" s="158"/>
      <c r="AO451" s="158"/>
    </row>
    <row r="452">
      <c r="AM452" s="158"/>
      <c r="AN452" s="158"/>
      <c r="AO452" s="158"/>
    </row>
    <row r="453">
      <c r="AM453" s="158"/>
      <c r="AN453" s="158"/>
      <c r="AO453" s="158"/>
    </row>
    <row r="454">
      <c r="AM454" s="158"/>
      <c r="AN454" s="158"/>
      <c r="AO454" s="158"/>
    </row>
    <row r="455">
      <c r="AM455" s="158"/>
      <c r="AN455" s="158"/>
      <c r="AO455" s="158"/>
    </row>
    <row r="456">
      <c r="AM456" s="158"/>
      <c r="AN456" s="158"/>
      <c r="AO456" s="158"/>
    </row>
    <row r="457">
      <c r="AM457" s="158"/>
      <c r="AN457" s="158"/>
      <c r="AO457" s="158"/>
    </row>
    <row r="458">
      <c r="AM458" s="158"/>
      <c r="AN458" s="158"/>
      <c r="AO458" s="158"/>
    </row>
    <row r="459">
      <c r="AM459" s="158"/>
      <c r="AN459" s="158"/>
      <c r="AO459" s="158"/>
    </row>
    <row r="460">
      <c r="AM460" s="158"/>
      <c r="AN460" s="158"/>
      <c r="AO460" s="158"/>
    </row>
    <row r="461">
      <c r="AM461" s="158"/>
      <c r="AN461" s="158"/>
      <c r="AO461" s="158"/>
    </row>
    <row r="462">
      <c r="AM462" s="158"/>
      <c r="AN462" s="158"/>
      <c r="AO462" s="158"/>
    </row>
    <row r="463">
      <c r="AM463" s="158"/>
      <c r="AN463" s="158"/>
      <c r="AO463" s="158"/>
    </row>
    <row r="464">
      <c r="AM464" s="158"/>
      <c r="AN464" s="158"/>
      <c r="AO464" s="158"/>
    </row>
    <row r="465">
      <c r="AM465" s="158"/>
      <c r="AN465" s="158"/>
      <c r="AO465" s="158"/>
    </row>
    <row r="466">
      <c r="AM466" s="158"/>
      <c r="AN466" s="158"/>
      <c r="AO466" s="158"/>
    </row>
    <row r="467">
      <c r="AM467" s="158"/>
      <c r="AN467" s="158"/>
      <c r="AO467" s="158"/>
    </row>
    <row r="468">
      <c r="AM468" s="158"/>
      <c r="AN468" s="158"/>
      <c r="AO468" s="158"/>
    </row>
    <row r="469">
      <c r="AM469" s="158"/>
      <c r="AN469" s="158"/>
      <c r="AO469" s="158"/>
    </row>
    <row r="470">
      <c r="AM470" s="158"/>
      <c r="AN470" s="158"/>
      <c r="AO470" s="158"/>
    </row>
    <row r="471">
      <c r="AM471" s="158"/>
      <c r="AN471" s="158"/>
      <c r="AO471" s="158"/>
    </row>
    <row r="472">
      <c r="AM472" s="158"/>
      <c r="AN472" s="158"/>
      <c r="AO472" s="158"/>
    </row>
    <row r="473">
      <c r="AM473" s="158"/>
      <c r="AN473" s="158"/>
      <c r="AO473" s="158"/>
    </row>
    <row r="474">
      <c r="AM474" s="158"/>
      <c r="AN474" s="158"/>
      <c r="AO474" s="158"/>
    </row>
    <row r="475">
      <c r="AM475" s="158"/>
      <c r="AN475" s="158"/>
      <c r="AO475" s="158"/>
    </row>
    <row r="476">
      <c r="AM476" s="158"/>
      <c r="AN476" s="158"/>
      <c r="AO476" s="158"/>
    </row>
    <row r="477">
      <c r="AM477" s="158"/>
      <c r="AN477" s="158"/>
      <c r="AO477" s="158"/>
    </row>
    <row r="478">
      <c r="AM478" s="158"/>
      <c r="AN478" s="158"/>
      <c r="AO478" s="158"/>
    </row>
    <row r="479">
      <c r="AM479" s="158"/>
      <c r="AN479" s="158"/>
      <c r="AO479" s="158"/>
    </row>
    <row r="480">
      <c r="AM480" s="158"/>
      <c r="AN480" s="158"/>
      <c r="AO480" s="158"/>
    </row>
    <row r="481">
      <c r="AM481" s="158"/>
      <c r="AN481" s="158"/>
      <c r="AO481" s="158"/>
    </row>
    <row r="482">
      <c r="AM482" s="158"/>
      <c r="AN482" s="158"/>
      <c r="AO482" s="158"/>
    </row>
    <row r="483">
      <c r="AM483" s="158"/>
      <c r="AN483" s="158"/>
      <c r="AO483" s="158"/>
    </row>
    <row r="484">
      <c r="AM484" s="158"/>
      <c r="AN484" s="158"/>
      <c r="AO484" s="158"/>
    </row>
    <row r="485">
      <c r="AM485" s="158"/>
      <c r="AN485" s="158"/>
      <c r="AO485" s="158"/>
    </row>
    <row r="486">
      <c r="AM486" s="158"/>
      <c r="AN486" s="158"/>
      <c r="AO486" s="158"/>
    </row>
    <row r="487">
      <c r="AM487" s="158"/>
      <c r="AN487" s="158"/>
      <c r="AO487" s="158"/>
    </row>
    <row r="488">
      <c r="AM488" s="158"/>
      <c r="AN488" s="158"/>
      <c r="AO488" s="158"/>
    </row>
    <row r="489">
      <c r="AM489" s="158"/>
      <c r="AN489" s="158"/>
      <c r="AO489" s="158"/>
    </row>
    <row r="490">
      <c r="AM490" s="158"/>
      <c r="AN490" s="158"/>
      <c r="AO490" s="158"/>
    </row>
    <row r="491">
      <c r="AM491" s="158"/>
      <c r="AN491" s="158"/>
      <c r="AO491" s="158"/>
    </row>
    <row r="492">
      <c r="AM492" s="158"/>
      <c r="AN492" s="158"/>
      <c r="AO492" s="158"/>
    </row>
    <row r="493">
      <c r="AM493" s="158"/>
      <c r="AN493" s="158"/>
      <c r="AO493" s="158"/>
    </row>
    <row r="494">
      <c r="AM494" s="158"/>
      <c r="AN494" s="158"/>
      <c r="AO494" s="158"/>
    </row>
    <row r="495">
      <c r="AM495" s="158"/>
      <c r="AN495" s="158"/>
      <c r="AO495" s="158"/>
    </row>
    <row r="496">
      <c r="AM496" s="158"/>
      <c r="AN496" s="158"/>
      <c r="AO496" s="158"/>
    </row>
    <row r="497">
      <c r="AM497" s="158"/>
      <c r="AN497" s="158"/>
      <c r="AO497" s="158"/>
    </row>
    <row r="498">
      <c r="AM498" s="158"/>
      <c r="AN498" s="158"/>
      <c r="AO498" s="158"/>
    </row>
    <row r="499">
      <c r="AM499" s="158"/>
      <c r="AN499" s="158"/>
      <c r="AO499" s="158"/>
    </row>
    <row r="500">
      <c r="AM500" s="158"/>
      <c r="AN500" s="158"/>
      <c r="AO500" s="158"/>
    </row>
    <row r="501">
      <c r="AM501" s="158"/>
      <c r="AN501" s="158"/>
      <c r="AO501" s="158"/>
    </row>
    <row r="502">
      <c r="AM502" s="158"/>
      <c r="AN502" s="158"/>
      <c r="AO502" s="158"/>
    </row>
    <row r="503">
      <c r="AM503" s="158"/>
      <c r="AN503" s="158"/>
      <c r="AO503" s="158"/>
    </row>
    <row r="504">
      <c r="AM504" s="158"/>
      <c r="AN504" s="158"/>
      <c r="AO504" s="158"/>
    </row>
    <row r="505">
      <c r="AM505" s="158"/>
      <c r="AN505" s="158"/>
      <c r="AO505" s="158"/>
    </row>
    <row r="506">
      <c r="AM506" s="158"/>
      <c r="AN506" s="158"/>
      <c r="AO506" s="158"/>
    </row>
    <row r="507">
      <c r="AM507" s="158"/>
      <c r="AN507" s="158"/>
      <c r="AO507" s="158"/>
    </row>
    <row r="508">
      <c r="AM508" s="158"/>
      <c r="AN508" s="158"/>
      <c r="AO508" s="158"/>
    </row>
    <row r="509">
      <c r="AM509" s="158"/>
      <c r="AN509" s="158"/>
      <c r="AO509" s="158"/>
    </row>
    <row r="510">
      <c r="AM510" s="158"/>
      <c r="AN510" s="158"/>
      <c r="AO510" s="158"/>
    </row>
    <row r="511">
      <c r="AM511" s="158"/>
      <c r="AN511" s="158"/>
      <c r="AO511" s="158"/>
    </row>
    <row r="512">
      <c r="AM512" s="158"/>
      <c r="AN512" s="158"/>
      <c r="AO512" s="158"/>
    </row>
    <row r="513">
      <c r="AM513" s="158"/>
      <c r="AN513" s="158"/>
      <c r="AO513" s="158"/>
    </row>
    <row r="514">
      <c r="AM514" s="158"/>
      <c r="AN514" s="158"/>
      <c r="AO514" s="158"/>
    </row>
    <row r="515">
      <c r="AM515" s="158"/>
      <c r="AN515" s="158"/>
      <c r="AO515" s="158"/>
    </row>
    <row r="516">
      <c r="AM516" s="158"/>
      <c r="AN516" s="158"/>
      <c r="AO516" s="158"/>
    </row>
    <row r="517">
      <c r="AM517" s="158"/>
      <c r="AN517" s="158"/>
      <c r="AO517" s="158"/>
    </row>
    <row r="518">
      <c r="AM518" s="158"/>
      <c r="AN518" s="158"/>
      <c r="AO518" s="158"/>
    </row>
    <row r="519">
      <c r="AM519" s="158"/>
      <c r="AN519" s="158"/>
      <c r="AO519" s="158"/>
    </row>
    <row r="520">
      <c r="AM520" s="158"/>
      <c r="AN520" s="158"/>
      <c r="AO520" s="158"/>
    </row>
    <row r="521">
      <c r="AM521" s="158"/>
      <c r="AN521" s="158"/>
      <c r="AO521" s="158"/>
    </row>
    <row r="522">
      <c r="AM522" s="158"/>
      <c r="AN522" s="158"/>
      <c r="AO522" s="158"/>
    </row>
    <row r="523">
      <c r="AM523" s="158"/>
      <c r="AN523" s="158"/>
      <c r="AO523" s="158"/>
    </row>
    <row r="524">
      <c r="AM524" s="158"/>
      <c r="AN524" s="158"/>
      <c r="AO524" s="158"/>
    </row>
    <row r="525">
      <c r="AM525" s="158"/>
      <c r="AN525" s="158"/>
      <c r="AO525" s="158"/>
    </row>
    <row r="526">
      <c r="AM526" s="158"/>
      <c r="AN526" s="158"/>
      <c r="AO526" s="158"/>
    </row>
    <row r="527">
      <c r="AM527" s="158"/>
      <c r="AN527" s="158"/>
      <c r="AO527" s="158"/>
    </row>
    <row r="528">
      <c r="AM528" s="158"/>
      <c r="AN528" s="158"/>
      <c r="AO528" s="158"/>
    </row>
    <row r="529">
      <c r="AM529" s="158"/>
      <c r="AN529" s="158"/>
      <c r="AO529" s="158"/>
    </row>
    <row r="530">
      <c r="AM530" s="158"/>
      <c r="AN530" s="158"/>
      <c r="AO530" s="158"/>
    </row>
    <row r="531">
      <c r="AM531" s="158"/>
      <c r="AN531" s="158"/>
      <c r="AO531" s="158"/>
    </row>
    <row r="532">
      <c r="AM532" s="158"/>
      <c r="AN532" s="158"/>
      <c r="AO532" s="158"/>
    </row>
    <row r="533">
      <c r="AM533" s="158"/>
      <c r="AN533" s="158"/>
      <c r="AO533" s="158"/>
    </row>
    <row r="534">
      <c r="AM534" s="158"/>
      <c r="AN534" s="158"/>
      <c r="AO534" s="158"/>
    </row>
    <row r="535">
      <c r="AM535" s="158"/>
      <c r="AN535" s="158"/>
      <c r="AO535" s="158"/>
    </row>
    <row r="536">
      <c r="AM536" s="158"/>
      <c r="AN536" s="158"/>
      <c r="AO536" s="158"/>
    </row>
    <row r="537">
      <c r="AM537" s="158"/>
      <c r="AN537" s="158"/>
      <c r="AO537" s="158"/>
    </row>
    <row r="538">
      <c r="AM538" s="158"/>
      <c r="AN538" s="158"/>
      <c r="AO538" s="158"/>
    </row>
    <row r="539">
      <c r="AM539" s="158"/>
      <c r="AN539" s="158"/>
      <c r="AO539" s="158"/>
    </row>
    <row r="540">
      <c r="AM540" s="158"/>
      <c r="AN540" s="158"/>
      <c r="AO540" s="158"/>
    </row>
    <row r="541">
      <c r="AM541" s="158"/>
      <c r="AN541" s="158"/>
      <c r="AO541" s="158"/>
    </row>
    <row r="542">
      <c r="AM542" s="158"/>
      <c r="AN542" s="158"/>
      <c r="AO542" s="158"/>
    </row>
    <row r="543">
      <c r="AM543" s="158"/>
      <c r="AN543" s="158"/>
      <c r="AO543" s="158"/>
    </row>
    <row r="544">
      <c r="AM544" s="158"/>
      <c r="AN544" s="158"/>
      <c r="AO544" s="158"/>
    </row>
    <row r="545">
      <c r="AM545" s="158"/>
      <c r="AN545" s="158"/>
      <c r="AO545" s="158"/>
    </row>
    <row r="546">
      <c r="AM546" s="158"/>
      <c r="AN546" s="158"/>
      <c r="AO546" s="158"/>
    </row>
    <row r="547">
      <c r="AM547" s="158"/>
      <c r="AN547" s="158"/>
      <c r="AO547" s="158"/>
    </row>
    <row r="548">
      <c r="AM548" s="158"/>
      <c r="AN548" s="158"/>
      <c r="AO548" s="158"/>
    </row>
    <row r="549">
      <c r="AM549" s="158"/>
      <c r="AN549" s="158"/>
      <c r="AO549" s="158"/>
    </row>
    <row r="550">
      <c r="AM550" s="158"/>
      <c r="AN550" s="158"/>
      <c r="AO550" s="158"/>
    </row>
    <row r="551">
      <c r="AM551" s="158"/>
      <c r="AN551" s="158"/>
      <c r="AO551" s="158"/>
    </row>
    <row r="552">
      <c r="AM552" s="158"/>
      <c r="AN552" s="158"/>
      <c r="AO552" s="158"/>
    </row>
    <row r="553">
      <c r="AM553" s="158"/>
      <c r="AN553" s="158"/>
      <c r="AO553" s="158"/>
    </row>
    <row r="554">
      <c r="AM554" s="158"/>
      <c r="AN554" s="158"/>
      <c r="AO554" s="158"/>
    </row>
    <row r="555">
      <c r="AM555" s="158"/>
      <c r="AN555" s="158"/>
      <c r="AO555" s="158"/>
    </row>
    <row r="556">
      <c r="AM556" s="158"/>
      <c r="AN556" s="158"/>
      <c r="AO556" s="158"/>
    </row>
    <row r="557">
      <c r="AM557" s="158"/>
      <c r="AN557" s="158"/>
      <c r="AO557" s="158"/>
    </row>
    <row r="558">
      <c r="AM558" s="158"/>
      <c r="AN558" s="158"/>
      <c r="AO558" s="158"/>
    </row>
    <row r="559">
      <c r="AM559" s="158"/>
      <c r="AN559" s="158"/>
      <c r="AO559" s="158"/>
    </row>
    <row r="560">
      <c r="AM560" s="158"/>
      <c r="AN560" s="158"/>
      <c r="AO560" s="158"/>
    </row>
    <row r="561">
      <c r="AM561" s="158"/>
      <c r="AN561" s="158"/>
      <c r="AO561" s="158"/>
    </row>
    <row r="562">
      <c r="AM562" s="158"/>
      <c r="AN562" s="158"/>
      <c r="AO562" s="158"/>
    </row>
    <row r="563">
      <c r="AM563" s="158"/>
      <c r="AN563" s="158"/>
      <c r="AO563" s="158"/>
    </row>
    <row r="564">
      <c r="AM564" s="158"/>
      <c r="AN564" s="158"/>
      <c r="AO564" s="158"/>
    </row>
    <row r="565">
      <c r="AM565" s="158"/>
      <c r="AN565" s="158"/>
      <c r="AO565" s="158"/>
    </row>
    <row r="566">
      <c r="AM566" s="158"/>
      <c r="AN566" s="158"/>
      <c r="AO566" s="158"/>
    </row>
    <row r="567">
      <c r="AM567" s="158"/>
      <c r="AN567" s="158"/>
      <c r="AO567" s="158"/>
    </row>
    <row r="568">
      <c r="AM568" s="158"/>
      <c r="AN568" s="158"/>
      <c r="AO568" s="158"/>
    </row>
    <row r="569">
      <c r="AM569" s="158"/>
      <c r="AN569" s="158"/>
      <c r="AO569" s="158"/>
    </row>
    <row r="570">
      <c r="AM570" s="158"/>
      <c r="AN570" s="158"/>
      <c r="AO570" s="158"/>
    </row>
    <row r="571">
      <c r="AM571" s="158"/>
      <c r="AN571" s="158"/>
      <c r="AO571" s="158"/>
    </row>
    <row r="572">
      <c r="AM572" s="158"/>
      <c r="AN572" s="158"/>
      <c r="AO572" s="158"/>
    </row>
    <row r="573">
      <c r="AM573" s="158"/>
      <c r="AN573" s="158"/>
      <c r="AO573" s="158"/>
    </row>
    <row r="574">
      <c r="AM574" s="158"/>
      <c r="AN574" s="158"/>
      <c r="AO574" s="158"/>
    </row>
    <row r="575">
      <c r="AM575" s="158"/>
      <c r="AN575" s="158"/>
      <c r="AO575" s="158"/>
    </row>
    <row r="576">
      <c r="AM576" s="158"/>
      <c r="AN576" s="158"/>
      <c r="AO576" s="158"/>
    </row>
    <row r="577">
      <c r="AM577" s="158"/>
      <c r="AN577" s="158"/>
      <c r="AO577" s="158"/>
    </row>
    <row r="578">
      <c r="AM578" s="158"/>
      <c r="AN578" s="158"/>
      <c r="AO578" s="158"/>
    </row>
    <row r="579">
      <c r="AM579" s="158"/>
      <c r="AN579" s="158"/>
      <c r="AO579" s="158"/>
    </row>
    <row r="580">
      <c r="AM580" s="158"/>
      <c r="AN580" s="158"/>
      <c r="AO580" s="158"/>
    </row>
    <row r="581">
      <c r="AM581" s="158"/>
      <c r="AN581" s="158"/>
      <c r="AO581" s="158"/>
    </row>
    <row r="582">
      <c r="AM582" s="158"/>
      <c r="AN582" s="158"/>
      <c r="AO582" s="158"/>
    </row>
    <row r="583">
      <c r="AM583" s="158"/>
      <c r="AN583" s="158"/>
      <c r="AO583" s="158"/>
    </row>
    <row r="584">
      <c r="AM584" s="158"/>
      <c r="AN584" s="158"/>
      <c r="AO584" s="158"/>
    </row>
    <row r="585">
      <c r="AM585" s="158"/>
      <c r="AN585" s="158"/>
      <c r="AO585" s="158"/>
    </row>
    <row r="586">
      <c r="AM586" s="158"/>
      <c r="AN586" s="158"/>
      <c r="AO586" s="158"/>
    </row>
    <row r="587">
      <c r="AM587" s="158"/>
      <c r="AN587" s="158"/>
      <c r="AO587" s="158"/>
    </row>
    <row r="588">
      <c r="AM588" s="158"/>
      <c r="AN588" s="158"/>
      <c r="AO588" s="158"/>
    </row>
    <row r="589">
      <c r="AM589" s="158"/>
      <c r="AN589" s="158"/>
      <c r="AO589" s="158"/>
    </row>
    <row r="590">
      <c r="AM590" s="158"/>
      <c r="AN590" s="158"/>
      <c r="AO590" s="158"/>
    </row>
    <row r="591">
      <c r="AM591" s="158"/>
      <c r="AN591" s="158"/>
      <c r="AO591" s="158"/>
    </row>
    <row r="592">
      <c r="AM592" s="158"/>
      <c r="AN592" s="158"/>
      <c r="AO592" s="158"/>
    </row>
    <row r="593">
      <c r="AM593" s="158"/>
      <c r="AN593" s="158"/>
      <c r="AO593" s="158"/>
    </row>
    <row r="594">
      <c r="AM594" s="158"/>
      <c r="AN594" s="158"/>
      <c r="AO594" s="158"/>
    </row>
    <row r="595">
      <c r="AM595" s="158"/>
      <c r="AN595" s="158"/>
      <c r="AO595" s="158"/>
    </row>
    <row r="596">
      <c r="AM596" s="158"/>
      <c r="AN596" s="158"/>
      <c r="AO596" s="158"/>
    </row>
    <row r="597">
      <c r="AM597" s="158"/>
      <c r="AN597" s="158"/>
      <c r="AO597" s="158"/>
    </row>
    <row r="598">
      <c r="AM598" s="158"/>
      <c r="AN598" s="158"/>
      <c r="AO598" s="158"/>
    </row>
    <row r="599">
      <c r="AM599" s="158"/>
      <c r="AN599" s="158"/>
      <c r="AO599" s="158"/>
    </row>
    <row r="600">
      <c r="AM600" s="158"/>
      <c r="AN600" s="158"/>
      <c r="AO600" s="158"/>
    </row>
    <row r="601">
      <c r="AM601" s="158"/>
      <c r="AN601" s="158"/>
      <c r="AO601" s="158"/>
    </row>
    <row r="602">
      <c r="AM602" s="158"/>
      <c r="AN602" s="158"/>
      <c r="AO602" s="158"/>
    </row>
    <row r="603">
      <c r="AM603" s="158"/>
      <c r="AN603" s="158"/>
      <c r="AO603" s="158"/>
    </row>
    <row r="604">
      <c r="AM604" s="158"/>
      <c r="AN604" s="158"/>
      <c r="AO604" s="158"/>
    </row>
    <row r="605">
      <c r="AM605" s="158"/>
      <c r="AN605" s="158"/>
      <c r="AO605" s="158"/>
    </row>
    <row r="606">
      <c r="AM606" s="158"/>
      <c r="AN606" s="158"/>
      <c r="AO606" s="158"/>
    </row>
    <row r="607">
      <c r="AM607" s="158"/>
      <c r="AN607" s="158"/>
      <c r="AO607" s="158"/>
    </row>
    <row r="608">
      <c r="AM608" s="158"/>
      <c r="AN608" s="158"/>
      <c r="AO608" s="158"/>
    </row>
    <row r="609">
      <c r="AM609" s="158"/>
      <c r="AN609" s="158"/>
      <c r="AO609" s="158"/>
    </row>
    <row r="610">
      <c r="AM610" s="158"/>
      <c r="AN610" s="158"/>
      <c r="AO610" s="158"/>
    </row>
    <row r="611">
      <c r="AM611" s="158"/>
      <c r="AN611" s="158"/>
      <c r="AO611" s="158"/>
    </row>
    <row r="612">
      <c r="AM612" s="158"/>
      <c r="AN612" s="158"/>
      <c r="AO612" s="158"/>
    </row>
    <row r="613">
      <c r="AM613" s="158"/>
      <c r="AN613" s="158"/>
      <c r="AO613" s="158"/>
    </row>
    <row r="614">
      <c r="AM614" s="158"/>
      <c r="AN614" s="158"/>
      <c r="AO614" s="158"/>
    </row>
    <row r="615">
      <c r="AM615" s="158"/>
      <c r="AN615" s="158"/>
      <c r="AO615" s="158"/>
    </row>
    <row r="616">
      <c r="AM616" s="158"/>
      <c r="AN616" s="158"/>
      <c r="AO616" s="158"/>
    </row>
    <row r="617">
      <c r="AM617" s="158"/>
      <c r="AN617" s="158"/>
      <c r="AO617" s="158"/>
    </row>
    <row r="618">
      <c r="AM618" s="158"/>
      <c r="AN618" s="158"/>
      <c r="AO618" s="158"/>
    </row>
    <row r="619">
      <c r="AM619" s="158"/>
      <c r="AN619" s="158"/>
      <c r="AO619" s="158"/>
    </row>
    <row r="620">
      <c r="AM620" s="158"/>
      <c r="AN620" s="158"/>
      <c r="AO620" s="158"/>
    </row>
    <row r="621">
      <c r="AM621" s="158"/>
      <c r="AN621" s="158"/>
      <c r="AO621" s="158"/>
    </row>
    <row r="622">
      <c r="AM622" s="158"/>
      <c r="AN622" s="158"/>
      <c r="AO622" s="158"/>
    </row>
    <row r="623">
      <c r="AM623" s="158"/>
      <c r="AN623" s="158"/>
      <c r="AO623" s="158"/>
    </row>
    <row r="624">
      <c r="AM624" s="158"/>
      <c r="AN624" s="158"/>
      <c r="AO624" s="158"/>
    </row>
    <row r="625">
      <c r="AM625" s="158"/>
      <c r="AN625" s="158"/>
      <c r="AO625" s="158"/>
    </row>
    <row r="626">
      <c r="AM626" s="158"/>
      <c r="AN626" s="158"/>
      <c r="AO626" s="158"/>
    </row>
    <row r="627">
      <c r="AM627" s="158"/>
      <c r="AN627" s="158"/>
      <c r="AO627" s="158"/>
    </row>
    <row r="628">
      <c r="AM628" s="158"/>
      <c r="AN628" s="158"/>
      <c r="AO628" s="158"/>
    </row>
    <row r="629">
      <c r="AM629" s="158"/>
      <c r="AN629" s="158"/>
      <c r="AO629" s="158"/>
    </row>
    <row r="630">
      <c r="AM630" s="158"/>
      <c r="AN630" s="158"/>
      <c r="AO630" s="158"/>
    </row>
    <row r="631">
      <c r="AM631" s="158"/>
      <c r="AN631" s="158"/>
      <c r="AO631" s="158"/>
    </row>
    <row r="632">
      <c r="AM632" s="158"/>
      <c r="AN632" s="158"/>
      <c r="AO632" s="158"/>
    </row>
    <row r="633">
      <c r="AM633" s="158"/>
      <c r="AN633" s="158"/>
      <c r="AO633" s="158"/>
    </row>
    <row r="634">
      <c r="AM634" s="158"/>
      <c r="AN634" s="158"/>
      <c r="AO634" s="158"/>
    </row>
    <row r="635">
      <c r="AM635" s="158"/>
      <c r="AN635" s="158"/>
      <c r="AO635" s="158"/>
    </row>
    <row r="636">
      <c r="AM636" s="158"/>
      <c r="AN636" s="158"/>
      <c r="AO636" s="158"/>
    </row>
    <row r="637">
      <c r="AM637" s="158"/>
      <c r="AN637" s="158"/>
      <c r="AO637" s="158"/>
    </row>
    <row r="638">
      <c r="AM638" s="158"/>
      <c r="AN638" s="158"/>
      <c r="AO638" s="158"/>
    </row>
    <row r="639">
      <c r="AM639" s="158"/>
      <c r="AN639" s="158"/>
      <c r="AO639" s="158"/>
    </row>
    <row r="640">
      <c r="AM640" s="158"/>
      <c r="AN640" s="158"/>
      <c r="AO640" s="158"/>
    </row>
    <row r="641">
      <c r="AM641" s="158"/>
      <c r="AN641" s="158"/>
      <c r="AO641" s="158"/>
    </row>
    <row r="642">
      <c r="AM642" s="158"/>
      <c r="AN642" s="158"/>
      <c r="AO642" s="158"/>
    </row>
    <row r="643">
      <c r="AM643" s="158"/>
      <c r="AN643" s="158"/>
      <c r="AO643" s="158"/>
    </row>
    <row r="644">
      <c r="AM644" s="158"/>
      <c r="AN644" s="158"/>
      <c r="AO644" s="158"/>
    </row>
    <row r="645">
      <c r="AM645" s="158"/>
      <c r="AN645" s="158"/>
      <c r="AO645" s="158"/>
    </row>
    <row r="646">
      <c r="AM646" s="158"/>
      <c r="AN646" s="158"/>
      <c r="AO646" s="158"/>
    </row>
    <row r="647">
      <c r="AM647" s="158"/>
      <c r="AN647" s="158"/>
      <c r="AO647" s="158"/>
    </row>
    <row r="648">
      <c r="AM648" s="158"/>
      <c r="AN648" s="158"/>
      <c r="AO648" s="158"/>
    </row>
    <row r="649">
      <c r="AM649" s="158"/>
      <c r="AN649" s="158"/>
      <c r="AO649" s="158"/>
    </row>
    <row r="650">
      <c r="AM650" s="158"/>
      <c r="AN650" s="158"/>
      <c r="AO650" s="158"/>
    </row>
    <row r="651">
      <c r="AM651" s="158"/>
      <c r="AN651" s="158"/>
      <c r="AO651" s="158"/>
    </row>
    <row r="652">
      <c r="AM652" s="158"/>
      <c r="AN652" s="158"/>
      <c r="AO652" s="158"/>
    </row>
    <row r="653">
      <c r="AM653" s="158"/>
      <c r="AN653" s="158"/>
      <c r="AO653" s="158"/>
    </row>
    <row r="654">
      <c r="AM654" s="158"/>
      <c r="AN654" s="158"/>
      <c r="AO654" s="158"/>
    </row>
    <row r="655">
      <c r="AM655" s="158"/>
      <c r="AN655" s="158"/>
      <c r="AO655" s="158"/>
    </row>
    <row r="656">
      <c r="AM656" s="158"/>
      <c r="AN656" s="158"/>
      <c r="AO656" s="158"/>
    </row>
    <row r="657">
      <c r="AM657" s="158"/>
      <c r="AN657" s="158"/>
      <c r="AO657" s="158"/>
    </row>
    <row r="658">
      <c r="AM658" s="158"/>
      <c r="AN658" s="158"/>
      <c r="AO658" s="158"/>
    </row>
    <row r="659">
      <c r="AM659" s="158"/>
      <c r="AN659" s="158"/>
      <c r="AO659" s="158"/>
    </row>
    <row r="660">
      <c r="AM660" s="158"/>
      <c r="AN660" s="158"/>
      <c r="AO660" s="158"/>
    </row>
    <row r="661">
      <c r="AM661" s="158"/>
      <c r="AN661" s="158"/>
      <c r="AO661" s="158"/>
    </row>
    <row r="662">
      <c r="AM662" s="158"/>
      <c r="AN662" s="158"/>
      <c r="AO662" s="158"/>
    </row>
    <row r="663">
      <c r="AM663" s="158"/>
      <c r="AN663" s="158"/>
      <c r="AO663" s="158"/>
    </row>
    <row r="664">
      <c r="AM664" s="158"/>
      <c r="AN664" s="158"/>
      <c r="AO664" s="158"/>
    </row>
    <row r="665">
      <c r="AM665" s="158"/>
      <c r="AN665" s="158"/>
      <c r="AO665" s="158"/>
    </row>
    <row r="666">
      <c r="AM666" s="158"/>
      <c r="AN666" s="158"/>
      <c r="AO666" s="158"/>
    </row>
    <row r="667">
      <c r="AM667" s="158"/>
      <c r="AN667" s="158"/>
      <c r="AO667" s="158"/>
    </row>
    <row r="668">
      <c r="AM668" s="158"/>
      <c r="AN668" s="158"/>
      <c r="AO668" s="158"/>
    </row>
    <row r="669">
      <c r="AM669" s="158"/>
      <c r="AN669" s="158"/>
      <c r="AO669" s="158"/>
    </row>
    <row r="670">
      <c r="AM670" s="158"/>
      <c r="AN670" s="158"/>
      <c r="AO670" s="158"/>
    </row>
    <row r="671">
      <c r="AM671" s="158"/>
      <c r="AN671" s="158"/>
      <c r="AO671" s="158"/>
    </row>
    <row r="672">
      <c r="AM672" s="158"/>
      <c r="AN672" s="158"/>
      <c r="AO672" s="158"/>
    </row>
    <row r="673">
      <c r="AM673" s="158"/>
      <c r="AN673" s="158"/>
      <c r="AO673" s="158"/>
    </row>
    <row r="674">
      <c r="AM674" s="158"/>
      <c r="AN674" s="158"/>
      <c r="AO674" s="158"/>
    </row>
    <row r="675">
      <c r="AM675" s="158"/>
      <c r="AN675" s="158"/>
      <c r="AO675" s="158"/>
    </row>
    <row r="676">
      <c r="AM676" s="158"/>
      <c r="AN676" s="158"/>
      <c r="AO676" s="158"/>
    </row>
    <row r="677">
      <c r="AM677" s="158"/>
      <c r="AN677" s="158"/>
      <c r="AO677" s="158"/>
    </row>
    <row r="678">
      <c r="AM678" s="158"/>
      <c r="AN678" s="158"/>
      <c r="AO678" s="158"/>
    </row>
    <row r="679">
      <c r="AM679" s="158"/>
      <c r="AN679" s="158"/>
      <c r="AO679" s="158"/>
    </row>
    <row r="680">
      <c r="AM680" s="158"/>
      <c r="AN680" s="158"/>
      <c r="AO680" s="158"/>
    </row>
    <row r="681">
      <c r="AM681" s="158"/>
      <c r="AN681" s="158"/>
      <c r="AO681" s="158"/>
    </row>
    <row r="682">
      <c r="AM682" s="158"/>
      <c r="AN682" s="158"/>
      <c r="AO682" s="158"/>
    </row>
    <row r="683">
      <c r="AM683" s="158"/>
      <c r="AN683" s="158"/>
      <c r="AO683" s="158"/>
    </row>
    <row r="684">
      <c r="AM684" s="158"/>
      <c r="AN684" s="158"/>
      <c r="AO684" s="158"/>
    </row>
    <row r="685">
      <c r="AM685" s="158"/>
      <c r="AN685" s="158"/>
      <c r="AO685" s="158"/>
    </row>
    <row r="686">
      <c r="AM686" s="158"/>
      <c r="AN686" s="158"/>
      <c r="AO686" s="158"/>
    </row>
    <row r="687">
      <c r="AM687" s="158"/>
      <c r="AN687" s="158"/>
      <c r="AO687" s="158"/>
    </row>
    <row r="688">
      <c r="AM688" s="158"/>
      <c r="AN688" s="158"/>
      <c r="AO688" s="158"/>
    </row>
    <row r="689">
      <c r="AM689" s="158"/>
      <c r="AN689" s="158"/>
      <c r="AO689" s="158"/>
    </row>
    <row r="690">
      <c r="AM690" s="158"/>
      <c r="AN690" s="158"/>
      <c r="AO690" s="158"/>
    </row>
    <row r="691">
      <c r="AM691" s="158"/>
      <c r="AN691" s="158"/>
      <c r="AO691" s="158"/>
    </row>
    <row r="692">
      <c r="AM692" s="158"/>
      <c r="AN692" s="158"/>
      <c r="AO692" s="158"/>
    </row>
    <row r="693">
      <c r="AM693" s="158"/>
      <c r="AN693" s="158"/>
      <c r="AO693" s="158"/>
    </row>
    <row r="694">
      <c r="AM694" s="158"/>
      <c r="AN694" s="158"/>
      <c r="AO694" s="158"/>
    </row>
    <row r="695">
      <c r="AM695" s="158"/>
      <c r="AN695" s="158"/>
      <c r="AO695" s="158"/>
    </row>
    <row r="696">
      <c r="AM696" s="158"/>
      <c r="AN696" s="158"/>
      <c r="AO696" s="158"/>
    </row>
    <row r="697">
      <c r="AM697" s="158"/>
      <c r="AN697" s="158"/>
      <c r="AO697" s="158"/>
    </row>
    <row r="698">
      <c r="AM698" s="158"/>
      <c r="AN698" s="158"/>
      <c r="AO698" s="158"/>
    </row>
    <row r="699">
      <c r="AM699" s="158"/>
      <c r="AN699" s="158"/>
      <c r="AO699" s="158"/>
    </row>
    <row r="700">
      <c r="AM700" s="158"/>
      <c r="AN700" s="158"/>
      <c r="AO700" s="158"/>
    </row>
    <row r="701">
      <c r="AM701" s="158"/>
      <c r="AN701" s="158"/>
      <c r="AO701" s="158"/>
    </row>
    <row r="702">
      <c r="AM702" s="158"/>
      <c r="AN702" s="158"/>
      <c r="AO702" s="158"/>
    </row>
    <row r="703">
      <c r="AM703" s="158"/>
      <c r="AN703" s="158"/>
      <c r="AO703" s="158"/>
    </row>
    <row r="704">
      <c r="AM704" s="158"/>
      <c r="AN704" s="158"/>
      <c r="AO704" s="158"/>
    </row>
    <row r="705">
      <c r="AM705" s="158"/>
      <c r="AN705" s="158"/>
      <c r="AO705" s="158"/>
    </row>
    <row r="706">
      <c r="AM706" s="158"/>
      <c r="AN706" s="158"/>
      <c r="AO706" s="158"/>
    </row>
    <row r="707">
      <c r="AM707" s="158"/>
      <c r="AN707" s="158"/>
      <c r="AO707" s="158"/>
    </row>
    <row r="708">
      <c r="AM708" s="158"/>
      <c r="AN708" s="158"/>
      <c r="AO708" s="158"/>
    </row>
    <row r="709">
      <c r="AM709" s="158"/>
      <c r="AN709" s="158"/>
      <c r="AO709" s="158"/>
    </row>
    <row r="710">
      <c r="AM710" s="158"/>
      <c r="AN710" s="158"/>
      <c r="AO710" s="158"/>
    </row>
    <row r="711">
      <c r="AM711" s="158"/>
      <c r="AN711" s="158"/>
      <c r="AO711" s="158"/>
    </row>
    <row r="712">
      <c r="AM712" s="158"/>
      <c r="AN712" s="158"/>
      <c r="AO712" s="158"/>
    </row>
    <row r="713">
      <c r="AM713" s="158"/>
      <c r="AN713" s="158"/>
      <c r="AO713" s="158"/>
    </row>
    <row r="714">
      <c r="AM714" s="158"/>
      <c r="AN714" s="158"/>
      <c r="AO714" s="158"/>
    </row>
    <row r="715">
      <c r="AM715" s="158"/>
      <c r="AN715" s="158"/>
      <c r="AO715" s="158"/>
    </row>
    <row r="716">
      <c r="AM716" s="158"/>
      <c r="AN716" s="158"/>
      <c r="AO716" s="158"/>
    </row>
    <row r="717">
      <c r="AM717" s="158"/>
      <c r="AN717" s="158"/>
      <c r="AO717" s="158"/>
    </row>
    <row r="718">
      <c r="AM718" s="158"/>
      <c r="AN718" s="158"/>
      <c r="AO718" s="158"/>
    </row>
    <row r="719">
      <c r="AM719" s="158"/>
      <c r="AN719" s="158"/>
      <c r="AO719" s="158"/>
    </row>
    <row r="720">
      <c r="AM720" s="158"/>
      <c r="AN720" s="158"/>
      <c r="AO720" s="158"/>
    </row>
    <row r="721">
      <c r="AM721" s="158"/>
      <c r="AN721" s="158"/>
      <c r="AO721" s="158"/>
    </row>
    <row r="722">
      <c r="AM722" s="158"/>
      <c r="AN722" s="158"/>
      <c r="AO722" s="158"/>
    </row>
    <row r="723">
      <c r="AM723" s="158"/>
      <c r="AN723" s="158"/>
      <c r="AO723" s="158"/>
    </row>
    <row r="724">
      <c r="AM724" s="158"/>
      <c r="AN724" s="158"/>
      <c r="AO724" s="158"/>
    </row>
    <row r="725">
      <c r="AM725" s="158"/>
      <c r="AN725" s="158"/>
      <c r="AO725" s="158"/>
    </row>
    <row r="726">
      <c r="AM726" s="158"/>
      <c r="AN726" s="158"/>
      <c r="AO726" s="158"/>
    </row>
    <row r="727">
      <c r="AM727" s="158"/>
      <c r="AN727" s="158"/>
      <c r="AO727" s="158"/>
    </row>
    <row r="728">
      <c r="AM728" s="158"/>
      <c r="AN728" s="158"/>
      <c r="AO728" s="158"/>
    </row>
    <row r="729">
      <c r="AM729" s="158"/>
      <c r="AN729" s="158"/>
      <c r="AO729" s="158"/>
    </row>
    <row r="730">
      <c r="AM730" s="158"/>
      <c r="AN730" s="158"/>
      <c r="AO730" s="158"/>
    </row>
    <row r="731">
      <c r="AM731" s="158"/>
      <c r="AN731" s="158"/>
      <c r="AO731" s="158"/>
    </row>
    <row r="732">
      <c r="AM732" s="158"/>
      <c r="AN732" s="158"/>
      <c r="AO732" s="158"/>
    </row>
    <row r="733">
      <c r="AM733" s="158"/>
      <c r="AN733" s="158"/>
      <c r="AO733" s="158"/>
    </row>
    <row r="734">
      <c r="AM734" s="158"/>
      <c r="AN734" s="158"/>
      <c r="AO734" s="158"/>
    </row>
    <row r="735">
      <c r="AM735" s="158"/>
      <c r="AN735" s="158"/>
      <c r="AO735" s="158"/>
    </row>
    <row r="736">
      <c r="AM736" s="158"/>
      <c r="AN736" s="158"/>
      <c r="AO736" s="158"/>
    </row>
    <row r="737">
      <c r="AM737" s="158"/>
      <c r="AN737" s="158"/>
      <c r="AO737" s="158"/>
    </row>
    <row r="738">
      <c r="AM738" s="158"/>
      <c r="AN738" s="158"/>
      <c r="AO738" s="158"/>
    </row>
    <row r="739">
      <c r="AM739" s="158"/>
      <c r="AN739" s="158"/>
      <c r="AO739" s="158"/>
    </row>
    <row r="740">
      <c r="AM740" s="158"/>
      <c r="AN740" s="158"/>
      <c r="AO740" s="158"/>
    </row>
    <row r="741">
      <c r="AM741" s="158"/>
      <c r="AN741" s="158"/>
      <c r="AO741" s="158"/>
    </row>
    <row r="742">
      <c r="AM742" s="158"/>
      <c r="AN742" s="158"/>
      <c r="AO742" s="158"/>
    </row>
    <row r="743">
      <c r="AM743" s="158"/>
      <c r="AN743" s="158"/>
      <c r="AO743" s="158"/>
    </row>
    <row r="744">
      <c r="AM744" s="158"/>
      <c r="AN744" s="158"/>
      <c r="AO744" s="158"/>
    </row>
    <row r="745">
      <c r="AM745" s="158"/>
      <c r="AN745" s="158"/>
      <c r="AO745" s="158"/>
    </row>
    <row r="746">
      <c r="AM746" s="158"/>
      <c r="AN746" s="158"/>
      <c r="AO746" s="158"/>
    </row>
    <row r="747">
      <c r="AM747" s="158"/>
      <c r="AN747" s="158"/>
      <c r="AO747" s="158"/>
    </row>
    <row r="748">
      <c r="AM748" s="158"/>
      <c r="AN748" s="158"/>
      <c r="AO748" s="158"/>
    </row>
    <row r="749">
      <c r="AM749" s="158"/>
      <c r="AN749" s="158"/>
      <c r="AO749" s="158"/>
    </row>
    <row r="750">
      <c r="AM750" s="158"/>
      <c r="AN750" s="158"/>
      <c r="AO750" s="158"/>
    </row>
    <row r="751">
      <c r="AM751" s="158"/>
      <c r="AN751" s="158"/>
      <c r="AO751" s="158"/>
    </row>
    <row r="752">
      <c r="AM752" s="158"/>
      <c r="AN752" s="158"/>
      <c r="AO752" s="158"/>
    </row>
    <row r="753">
      <c r="AM753" s="158"/>
      <c r="AN753" s="158"/>
      <c r="AO753" s="158"/>
    </row>
    <row r="754">
      <c r="AM754" s="158"/>
      <c r="AN754" s="158"/>
      <c r="AO754" s="158"/>
    </row>
    <row r="755">
      <c r="AM755" s="158"/>
      <c r="AN755" s="158"/>
      <c r="AO755" s="158"/>
    </row>
    <row r="756">
      <c r="AM756" s="158"/>
      <c r="AN756" s="158"/>
      <c r="AO756" s="158"/>
    </row>
    <row r="757">
      <c r="AM757" s="158"/>
      <c r="AN757" s="158"/>
      <c r="AO757" s="158"/>
    </row>
    <row r="758">
      <c r="AM758" s="158"/>
      <c r="AN758" s="158"/>
      <c r="AO758" s="158"/>
    </row>
    <row r="759">
      <c r="AM759" s="158"/>
      <c r="AN759" s="158"/>
      <c r="AO759" s="158"/>
    </row>
    <row r="760">
      <c r="AM760" s="158"/>
      <c r="AN760" s="158"/>
      <c r="AO760" s="158"/>
    </row>
    <row r="761">
      <c r="AM761" s="158"/>
      <c r="AN761" s="158"/>
      <c r="AO761" s="158"/>
    </row>
    <row r="762">
      <c r="AM762" s="158"/>
      <c r="AN762" s="158"/>
      <c r="AO762" s="158"/>
    </row>
    <row r="763">
      <c r="AM763" s="158"/>
      <c r="AN763" s="158"/>
      <c r="AO763" s="158"/>
    </row>
    <row r="764">
      <c r="AM764" s="158"/>
      <c r="AN764" s="158"/>
      <c r="AO764" s="158"/>
    </row>
    <row r="765">
      <c r="AM765" s="158"/>
      <c r="AN765" s="158"/>
      <c r="AO765" s="158"/>
    </row>
    <row r="766">
      <c r="AM766" s="158"/>
      <c r="AN766" s="158"/>
      <c r="AO766" s="158"/>
    </row>
    <row r="767">
      <c r="AM767" s="158"/>
      <c r="AN767" s="158"/>
      <c r="AO767" s="158"/>
    </row>
    <row r="768">
      <c r="AM768" s="158"/>
      <c r="AN768" s="158"/>
      <c r="AO768" s="158"/>
    </row>
    <row r="769">
      <c r="AM769" s="158"/>
      <c r="AN769" s="158"/>
      <c r="AO769" s="158"/>
    </row>
    <row r="770">
      <c r="AM770" s="158"/>
      <c r="AN770" s="158"/>
      <c r="AO770" s="158"/>
    </row>
    <row r="771">
      <c r="AM771" s="158"/>
      <c r="AN771" s="158"/>
      <c r="AO771" s="158"/>
    </row>
    <row r="772">
      <c r="AM772" s="158"/>
      <c r="AN772" s="158"/>
      <c r="AO772" s="158"/>
    </row>
    <row r="773">
      <c r="AM773" s="158"/>
      <c r="AN773" s="158"/>
      <c r="AO773" s="158"/>
    </row>
    <row r="774">
      <c r="AM774" s="158"/>
      <c r="AN774" s="158"/>
      <c r="AO774" s="158"/>
    </row>
    <row r="775">
      <c r="AM775" s="158"/>
      <c r="AN775" s="158"/>
      <c r="AO775" s="158"/>
    </row>
    <row r="776">
      <c r="AM776" s="158"/>
      <c r="AN776" s="158"/>
      <c r="AO776" s="158"/>
    </row>
    <row r="777">
      <c r="AM777" s="158"/>
      <c r="AN777" s="158"/>
      <c r="AO777" s="158"/>
    </row>
    <row r="778">
      <c r="AM778" s="158"/>
      <c r="AN778" s="158"/>
      <c r="AO778" s="158"/>
    </row>
    <row r="779">
      <c r="AM779" s="158"/>
      <c r="AN779" s="158"/>
      <c r="AO779" s="158"/>
    </row>
    <row r="780">
      <c r="AM780" s="158"/>
      <c r="AN780" s="158"/>
      <c r="AO780" s="158"/>
    </row>
    <row r="781">
      <c r="AM781" s="158"/>
      <c r="AN781" s="158"/>
      <c r="AO781" s="158"/>
    </row>
    <row r="782">
      <c r="AM782" s="158"/>
      <c r="AN782" s="158"/>
      <c r="AO782" s="158"/>
    </row>
    <row r="783">
      <c r="AM783" s="158"/>
      <c r="AN783" s="158"/>
      <c r="AO783" s="158"/>
    </row>
    <row r="784">
      <c r="AM784" s="158"/>
      <c r="AN784" s="158"/>
      <c r="AO784" s="158"/>
    </row>
    <row r="785">
      <c r="AM785" s="158"/>
      <c r="AN785" s="158"/>
      <c r="AO785" s="158"/>
    </row>
    <row r="786">
      <c r="AM786" s="158"/>
      <c r="AN786" s="158"/>
      <c r="AO786" s="158"/>
    </row>
    <row r="787">
      <c r="AM787" s="158"/>
      <c r="AN787" s="158"/>
      <c r="AO787" s="158"/>
    </row>
    <row r="788">
      <c r="AM788" s="158"/>
      <c r="AN788" s="158"/>
      <c r="AO788" s="158"/>
    </row>
    <row r="789">
      <c r="AM789" s="158"/>
      <c r="AN789" s="158"/>
      <c r="AO789" s="158"/>
    </row>
    <row r="790">
      <c r="AM790" s="158"/>
      <c r="AN790" s="158"/>
      <c r="AO790" s="158"/>
    </row>
    <row r="791">
      <c r="AM791" s="158"/>
      <c r="AN791" s="158"/>
      <c r="AO791" s="158"/>
    </row>
    <row r="792">
      <c r="AM792" s="158"/>
      <c r="AN792" s="158"/>
      <c r="AO792" s="158"/>
    </row>
    <row r="793">
      <c r="AM793" s="158"/>
      <c r="AN793" s="158"/>
      <c r="AO793" s="158"/>
    </row>
    <row r="794">
      <c r="AM794" s="158"/>
      <c r="AN794" s="158"/>
      <c r="AO794" s="158"/>
    </row>
    <row r="795">
      <c r="AM795" s="158"/>
      <c r="AN795" s="158"/>
      <c r="AO795" s="158"/>
    </row>
    <row r="796">
      <c r="AM796" s="158"/>
      <c r="AN796" s="158"/>
      <c r="AO796" s="158"/>
    </row>
    <row r="797">
      <c r="AM797" s="158"/>
      <c r="AN797" s="158"/>
      <c r="AO797" s="158"/>
    </row>
    <row r="798">
      <c r="AM798" s="158"/>
      <c r="AN798" s="158"/>
      <c r="AO798" s="158"/>
    </row>
    <row r="799">
      <c r="AM799" s="158"/>
      <c r="AN799" s="158"/>
      <c r="AO799" s="158"/>
    </row>
    <row r="800">
      <c r="AM800" s="158"/>
      <c r="AN800" s="158"/>
      <c r="AO800" s="158"/>
    </row>
    <row r="801">
      <c r="AM801" s="158"/>
      <c r="AN801" s="158"/>
      <c r="AO801" s="158"/>
    </row>
    <row r="802">
      <c r="AM802" s="158"/>
      <c r="AN802" s="158"/>
      <c r="AO802" s="158"/>
    </row>
    <row r="803">
      <c r="AM803" s="158"/>
      <c r="AN803" s="158"/>
      <c r="AO803" s="158"/>
    </row>
    <row r="804">
      <c r="AM804" s="158"/>
      <c r="AN804" s="158"/>
      <c r="AO804" s="158"/>
    </row>
    <row r="805">
      <c r="AM805" s="158"/>
      <c r="AN805" s="158"/>
      <c r="AO805" s="158"/>
    </row>
    <row r="806">
      <c r="AM806" s="158"/>
      <c r="AN806" s="158"/>
      <c r="AO806" s="158"/>
    </row>
    <row r="807">
      <c r="AM807" s="158"/>
      <c r="AN807" s="158"/>
      <c r="AO807" s="158"/>
    </row>
    <row r="808">
      <c r="AM808" s="158"/>
      <c r="AN808" s="158"/>
      <c r="AO808" s="158"/>
    </row>
    <row r="809">
      <c r="AM809" s="158"/>
      <c r="AN809" s="158"/>
      <c r="AO809" s="158"/>
    </row>
    <row r="810">
      <c r="AM810" s="158"/>
      <c r="AN810" s="158"/>
      <c r="AO810" s="158"/>
    </row>
    <row r="811">
      <c r="AM811" s="158"/>
      <c r="AN811" s="158"/>
      <c r="AO811" s="158"/>
    </row>
    <row r="812">
      <c r="AM812" s="158"/>
      <c r="AN812" s="158"/>
      <c r="AO812" s="158"/>
    </row>
    <row r="813">
      <c r="AM813" s="158"/>
      <c r="AN813" s="158"/>
      <c r="AO813" s="158"/>
    </row>
    <row r="814">
      <c r="AM814" s="158"/>
      <c r="AN814" s="158"/>
      <c r="AO814" s="158"/>
    </row>
    <row r="815">
      <c r="AM815" s="158"/>
      <c r="AN815" s="158"/>
      <c r="AO815" s="158"/>
    </row>
    <row r="816">
      <c r="AM816" s="158"/>
      <c r="AN816" s="158"/>
      <c r="AO816" s="158"/>
    </row>
    <row r="817">
      <c r="AM817" s="158"/>
      <c r="AN817" s="158"/>
      <c r="AO817" s="158"/>
    </row>
    <row r="818">
      <c r="AM818" s="158"/>
      <c r="AN818" s="158"/>
      <c r="AO818" s="158"/>
    </row>
    <row r="819">
      <c r="AM819" s="158"/>
      <c r="AN819" s="158"/>
      <c r="AO819" s="158"/>
    </row>
    <row r="820">
      <c r="AM820" s="158"/>
      <c r="AN820" s="158"/>
      <c r="AO820" s="158"/>
    </row>
    <row r="821">
      <c r="AM821" s="158"/>
      <c r="AN821" s="158"/>
      <c r="AO821" s="158"/>
    </row>
    <row r="822">
      <c r="AM822" s="158"/>
      <c r="AN822" s="158"/>
      <c r="AO822" s="158"/>
    </row>
    <row r="823">
      <c r="AM823" s="158"/>
      <c r="AN823" s="158"/>
      <c r="AO823" s="158"/>
    </row>
    <row r="824">
      <c r="AM824" s="158"/>
      <c r="AN824" s="158"/>
      <c r="AO824" s="158"/>
    </row>
    <row r="825">
      <c r="AM825" s="158"/>
      <c r="AN825" s="158"/>
      <c r="AO825" s="158"/>
    </row>
    <row r="826">
      <c r="AM826" s="158"/>
      <c r="AN826" s="158"/>
      <c r="AO826" s="158"/>
    </row>
    <row r="827">
      <c r="AM827" s="158"/>
      <c r="AN827" s="158"/>
      <c r="AO827" s="158"/>
    </row>
    <row r="828">
      <c r="AM828" s="158"/>
      <c r="AN828" s="158"/>
      <c r="AO828" s="158"/>
    </row>
    <row r="829">
      <c r="AM829" s="158"/>
      <c r="AN829" s="158"/>
      <c r="AO829" s="158"/>
    </row>
    <row r="830">
      <c r="AM830" s="158"/>
      <c r="AN830" s="158"/>
      <c r="AO830" s="158"/>
    </row>
    <row r="831">
      <c r="AM831" s="158"/>
      <c r="AN831" s="158"/>
      <c r="AO831" s="158"/>
    </row>
    <row r="832">
      <c r="AM832" s="158"/>
      <c r="AN832" s="158"/>
      <c r="AO832" s="158"/>
    </row>
    <row r="833">
      <c r="AM833" s="158"/>
      <c r="AN833" s="158"/>
      <c r="AO833" s="158"/>
    </row>
    <row r="834">
      <c r="AM834" s="158"/>
      <c r="AN834" s="158"/>
      <c r="AO834" s="158"/>
    </row>
    <row r="835">
      <c r="AM835" s="158"/>
      <c r="AN835" s="158"/>
      <c r="AO835" s="158"/>
    </row>
    <row r="836">
      <c r="AM836" s="158"/>
      <c r="AN836" s="158"/>
      <c r="AO836" s="158"/>
    </row>
    <row r="837">
      <c r="AM837" s="158"/>
      <c r="AN837" s="158"/>
      <c r="AO837" s="158"/>
    </row>
    <row r="838">
      <c r="AM838" s="158"/>
      <c r="AN838" s="158"/>
      <c r="AO838" s="158"/>
    </row>
    <row r="839">
      <c r="AM839" s="158"/>
      <c r="AN839" s="158"/>
      <c r="AO839" s="158"/>
    </row>
    <row r="840">
      <c r="AM840" s="158"/>
      <c r="AN840" s="158"/>
      <c r="AO840" s="158"/>
    </row>
    <row r="841">
      <c r="AM841" s="158"/>
      <c r="AN841" s="158"/>
      <c r="AO841" s="158"/>
    </row>
    <row r="842">
      <c r="AM842" s="158"/>
      <c r="AN842" s="158"/>
      <c r="AO842" s="158"/>
    </row>
    <row r="843">
      <c r="AM843" s="158"/>
      <c r="AN843" s="158"/>
      <c r="AO843" s="158"/>
    </row>
    <row r="844">
      <c r="AM844" s="158"/>
      <c r="AN844" s="158"/>
      <c r="AO844" s="158"/>
    </row>
    <row r="845">
      <c r="AM845" s="158"/>
      <c r="AN845" s="158"/>
      <c r="AO845" s="158"/>
    </row>
    <row r="846">
      <c r="AM846" s="158"/>
      <c r="AN846" s="158"/>
      <c r="AO846" s="158"/>
    </row>
    <row r="847">
      <c r="AM847" s="158"/>
      <c r="AN847" s="158"/>
      <c r="AO847" s="158"/>
    </row>
    <row r="848">
      <c r="AM848" s="158"/>
      <c r="AN848" s="158"/>
      <c r="AO848" s="158"/>
    </row>
    <row r="849">
      <c r="AM849" s="158"/>
      <c r="AN849" s="158"/>
      <c r="AO849" s="158"/>
    </row>
    <row r="850">
      <c r="AM850" s="158"/>
      <c r="AN850" s="158"/>
      <c r="AO850" s="158"/>
    </row>
    <row r="851">
      <c r="AM851" s="158"/>
      <c r="AN851" s="158"/>
      <c r="AO851" s="158"/>
    </row>
    <row r="852">
      <c r="AM852" s="158"/>
      <c r="AN852" s="158"/>
      <c r="AO852" s="158"/>
    </row>
    <row r="853">
      <c r="AM853" s="158"/>
      <c r="AN853" s="158"/>
      <c r="AO853" s="158"/>
    </row>
    <row r="854">
      <c r="AM854" s="158"/>
      <c r="AN854" s="158"/>
      <c r="AO854" s="158"/>
    </row>
    <row r="855">
      <c r="AM855" s="158"/>
      <c r="AN855" s="158"/>
      <c r="AO855" s="158"/>
    </row>
    <row r="856">
      <c r="AM856" s="158"/>
      <c r="AN856" s="158"/>
      <c r="AO856" s="158"/>
    </row>
    <row r="857">
      <c r="AM857" s="158"/>
      <c r="AN857" s="158"/>
      <c r="AO857" s="158"/>
    </row>
    <row r="858">
      <c r="AM858" s="158"/>
      <c r="AN858" s="158"/>
      <c r="AO858" s="158"/>
    </row>
    <row r="859">
      <c r="AM859" s="158"/>
      <c r="AN859" s="158"/>
      <c r="AO859" s="158"/>
    </row>
    <row r="860">
      <c r="AM860" s="158"/>
      <c r="AN860" s="158"/>
      <c r="AO860" s="158"/>
    </row>
    <row r="861">
      <c r="AM861" s="158"/>
      <c r="AN861" s="158"/>
      <c r="AO861" s="158"/>
    </row>
    <row r="862">
      <c r="AM862" s="158"/>
      <c r="AN862" s="158"/>
      <c r="AO862" s="158"/>
    </row>
    <row r="863">
      <c r="AM863" s="158"/>
      <c r="AN863" s="158"/>
      <c r="AO863" s="158"/>
    </row>
    <row r="864">
      <c r="AM864" s="158"/>
      <c r="AN864" s="158"/>
      <c r="AO864" s="158"/>
    </row>
    <row r="865">
      <c r="AM865" s="158"/>
      <c r="AN865" s="158"/>
      <c r="AO865" s="158"/>
    </row>
    <row r="866">
      <c r="AM866" s="158"/>
      <c r="AN866" s="158"/>
      <c r="AO866" s="158"/>
    </row>
    <row r="867">
      <c r="AM867" s="158"/>
      <c r="AN867" s="158"/>
      <c r="AO867" s="158"/>
    </row>
    <row r="868">
      <c r="AM868" s="158"/>
      <c r="AN868" s="158"/>
      <c r="AO868" s="158"/>
    </row>
    <row r="869">
      <c r="AM869" s="158"/>
      <c r="AN869" s="158"/>
      <c r="AO869" s="158"/>
    </row>
    <row r="870">
      <c r="AM870" s="158"/>
      <c r="AN870" s="158"/>
      <c r="AO870" s="158"/>
    </row>
    <row r="871">
      <c r="AM871" s="158"/>
      <c r="AN871" s="158"/>
      <c r="AO871" s="158"/>
    </row>
    <row r="872">
      <c r="AM872" s="158"/>
      <c r="AN872" s="158"/>
      <c r="AO872" s="158"/>
    </row>
    <row r="873">
      <c r="AM873" s="158"/>
      <c r="AN873" s="158"/>
      <c r="AO873" s="158"/>
    </row>
    <row r="874">
      <c r="AM874" s="158"/>
      <c r="AN874" s="158"/>
      <c r="AO874" s="158"/>
    </row>
    <row r="875">
      <c r="AM875" s="158"/>
      <c r="AN875" s="158"/>
      <c r="AO875" s="158"/>
    </row>
    <row r="876">
      <c r="AM876" s="158"/>
      <c r="AN876" s="158"/>
      <c r="AO876" s="158"/>
    </row>
    <row r="877">
      <c r="AM877" s="158"/>
      <c r="AN877" s="158"/>
      <c r="AO877" s="158"/>
    </row>
    <row r="878">
      <c r="AM878" s="158"/>
      <c r="AN878" s="158"/>
      <c r="AO878" s="158"/>
    </row>
    <row r="879">
      <c r="AM879" s="158"/>
      <c r="AN879" s="158"/>
      <c r="AO879" s="158"/>
    </row>
    <row r="880">
      <c r="AM880" s="158"/>
      <c r="AN880" s="158"/>
      <c r="AO880" s="158"/>
    </row>
    <row r="881">
      <c r="AM881" s="158"/>
      <c r="AN881" s="158"/>
      <c r="AO881" s="158"/>
    </row>
    <row r="882">
      <c r="AM882" s="158"/>
      <c r="AN882" s="158"/>
      <c r="AO882" s="158"/>
    </row>
    <row r="883">
      <c r="AM883" s="158"/>
      <c r="AN883" s="158"/>
      <c r="AO883" s="158"/>
    </row>
    <row r="884">
      <c r="AM884" s="158"/>
      <c r="AN884" s="158"/>
      <c r="AO884" s="158"/>
    </row>
    <row r="885">
      <c r="AM885" s="158"/>
      <c r="AN885" s="158"/>
      <c r="AO885" s="158"/>
    </row>
    <row r="886">
      <c r="AM886" s="158"/>
      <c r="AN886" s="158"/>
      <c r="AO886" s="158"/>
    </row>
    <row r="887">
      <c r="AM887" s="158"/>
      <c r="AN887" s="158"/>
      <c r="AO887" s="158"/>
    </row>
    <row r="888">
      <c r="AM888" s="158"/>
      <c r="AN888" s="158"/>
      <c r="AO888" s="158"/>
    </row>
    <row r="889">
      <c r="AM889" s="158"/>
      <c r="AN889" s="158"/>
      <c r="AO889" s="158"/>
    </row>
    <row r="890">
      <c r="AM890" s="158"/>
      <c r="AN890" s="158"/>
      <c r="AO890" s="158"/>
    </row>
    <row r="891">
      <c r="AM891" s="158"/>
      <c r="AN891" s="158"/>
      <c r="AO891" s="158"/>
    </row>
    <row r="892">
      <c r="AM892" s="158"/>
      <c r="AN892" s="158"/>
      <c r="AO892" s="158"/>
    </row>
    <row r="893">
      <c r="AM893" s="158"/>
      <c r="AN893" s="158"/>
      <c r="AO893" s="158"/>
    </row>
    <row r="894">
      <c r="AM894" s="158"/>
      <c r="AN894" s="158"/>
      <c r="AO894" s="158"/>
    </row>
    <row r="895">
      <c r="AM895" s="158"/>
      <c r="AN895" s="158"/>
      <c r="AO895" s="158"/>
    </row>
    <row r="896">
      <c r="AM896" s="158"/>
      <c r="AN896" s="158"/>
      <c r="AO896" s="158"/>
    </row>
    <row r="897">
      <c r="AM897" s="158"/>
      <c r="AN897" s="158"/>
      <c r="AO897" s="158"/>
    </row>
    <row r="898">
      <c r="AM898" s="158"/>
      <c r="AN898" s="158"/>
      <c r="AO898" s="158"/>
    </row>
    <row r="899">
      <c r="AM899" s="158"/>
      <c r="AN899" s="158"/>
      <c r="AO899" s="158"/>
    </row>
    <row r="900">
      <c r="AM900" s="158"/>
      <c r="AN900" s="158"/>
      <c r="AO900" s="158"/>
    </row>
    <row r="901">
      <c r="AM901" s="158"/>
      <c r="AN901" s="158"/>
      <c r="AO901" s="158"/>
    </row>
    <row r="902">
      <c r="AM902" s="158"/>
      <c r="AN902" s="158"/>
      <c r="AO902" s="158"/>
    </row>
    <row r="903">
      <c r="AM903" s="158"/>
      <c r="AN903" s="158"/>
      <c r="AO903" s="158"/>
    </row>
    <row r="904">
      <c r="AM904" s="158"/>
      <c r="AN904" s="158"/>
      <c r="AO904" s="158"/>
    </row>
    <row r="905">
      <c r="AM905" s="158"/>
      <c r="AN905" s="158"/>
      <c r="AO905" s="158"/>
    </row>
    <row r="906">
      <c r="AM906" s="158"/>
      <c r="AN906" s="158"/>
      <c r="AO906" s="158"/>
    </row>
    <row r="907">
      <c r="AM907" s="158"/>
      <c r="AN907" s="158"/>
      <c r="AO907" s="158"/>
    </row>
    <row r="908">
      <c r="AM908" s="158"/>
      <c r="AN908" s="158"/>
      <c r="AO908" s="158"/>
    </row>
    <row r="909">
      <c r="AM909" s="158"/>
      <c r="AN909" s="158"/>
      <c r="AO909" s="158"/>
    </row>
    <row r="910">
      <c r="AM910" s="158"/>
      <c r="AN910" s="158"/>
      <c r="AO910" s="158"/>
    </row>
    <row r="911">
      <c r="AM911" s="158"/>
      <c r="AN911" s="158"/>
      <c r="AO911" s="158"/>
    </row>
    <row r="912">
      <c r="AM912" s="158"/>
      <c r="AN912" s="158"/>
      <c r="AO912" s="158"/>
    </row>
    <row r="913">
      <c r="AM913" s="158"/>
      <c r="AN913" s="158"/>
      <c r="AO913" s="158"/>
    </row>
    <row r="914">
      <c r="AM914" s="158"/>
      <c r="AN914" s="158"/>
      <c r="AO914" s="158"/>
    </row>
    <row r="915">
      <c r="AM915" s="158"/>
      <c r="AN915" s="158"/>
      <c r="AO915" s="158"/>
    </row>
    <row r="916">
      <c r="AM916" s="158"/>
      <c r="AN916" s="158"/>
      <c r="AO916" s="158"/>
    </row>
    <row r="917">
      <c r="AM917" s="158"/>
      <c r="AN917" s="158"/>
      <c r="AO917" s="158"/>
    </row>
    <row r="918">
      <c r="AM918" s="158"/>
      <c r="AN918" s="158"/>
      <c r="AO918" s="158"/>
    </row>
    <row r="919">
      <c r="AM919" s="158"/>
      <c r="AN919" s="158"/>
      <c r="AO919" s="158"/>
    </row>
    <row r="920">
      <c r="AM920" s="158"/>
      <c r="AN920" s="158"/>
      <c r="AO920" s="158"/>
    </row>
    <row r="921">
      <c r="AM921" s="158"/>
      <c r="AN921" s="158"/>
      <c r="AO921" s="158"/>
    </row>
    <row r="922">
      <c r="AM922" s="158"/>
      <c r="AN922" s="158"/>
      <c r="AO922" s="158"/>
    </row>
    <row r="923">
      <c r="AM923" s="158"/>
      <c r="AN923" s="158"/>
      <c r="AO923" s="158"/>
    </row>
    <row r="924">
      <c r="AM924" s="158"/>
      <c r="AN924" s="158"/>
      <c r="AO924" s="158"/>
    </row>
    <row r="925">
      <c r="AM925" s="158"/>
      <c r="AN925" s="158"/>
      <c r="AO925" s="158"/>
    </row>
    <row r="926">
      <c r="AM926" s="158"/>
      <c r="AN926" s="158"/>
      <c r="AO926" s="158"/>
    </row>
    <row r="927">
      <c r="AM927" s="158"/>
      <c r="AN927" s="158"/>
      <c r="AO927" s="158"/>
    </row>
    <row r="928">
      <c r="AM928" s="158"/>
      <c r="AN928" s="158"/>
      <c r="AO928" s="158"/>
    </row>
    <row r="929">
      <c r="AM929" s="158"/>
      <c r="AN929" s="158"/>
      <c r="AO929" s="158"/>
    </row>
    <row r="930">
      <c r="AM930" s="158"/>
      <c r="AN930" s="158"/>
      <c r="AO930" s="158"/>
    </row>
    <row r="931">
      <c r="AM931" s="158"/>
      <c r="AN931" s="158"/>
      <c r="AO931" s="158"/>
    </row>
    <row r="932">
      <c r="AM932" s="158"/>
      <c r="AN932" s="158"/>
      <c r="AO932" s="158"/>
    </row>
    <row r="933">
      <c r="AM933" s="158"/>
      <c r="AN933" s="158"/>
      <c r="AO933" s="158"/>
    </row>
    <row r="934">
      <c r="AM934" s="158"/>
      <c r="AN934" s="158"/>
      <c r="AO934" s="158"/>
    </row>
    <row r="935">
      <c r="AM935" s="158"/>
      <c r="AN935" s="158"/>
      <c r="AO935" s="158"/>
    </row>
    <row r="936">
      <c r="AM936" s="158"/>
      <c r="AN936" s="158"/>
      <c r="AO936" s="158"/>
    </row>
    <row r="937">
      <c r="AM937" s="158"/>
      <c r="AN937" s="158"/>
      <c r="AO937" s="158"/>
    </row>
    <row r="938">
      <c r="AM938" s="158"/>
      <c r="AN938" s="158"/>
      <c r="AO938" s="158"/>
    </row>
    <row r="939">
      <c r="AM939" s="158"/>
      <c r="AN939" s="158"/>
      <c r="AO939" s="158"/>
    </row>
    <row r="940">
      <c r="AM940" s="158"/>
      <c r="AN940" s="158"/>
      <c r="AO940" s="158"/>
    </row>
    <row r="941">
      <c r="AM941" s="158"/>
      <c r="AN941" s="158"/>
      <c r="AO941" s="158"/>
    </row>
    <row r="942">
      <c r="AM942" s="158"/>
      <c r="AN942" s="158"/>
      <c r="AO942" s="158"/>
    </row>
    <row r="943">
      <c r="AM943" s="158"/>
      <c r="AN943" s="158"/>
      <c r="AO943" s="158"/>
    </row>
    <row r="944">
      <c r="AM944" s="158"/>
      <c r="AN944" s="158"/>
      <c r="AO944" s="158"/>
    </row>
    <row r="945">
      <c r="AM945" s="158"/>
      <c r="AN945" s="158"/>
      <c r="AO945" s="158"/>
    </row>
    <row r="946">
      <c r="AM946" s="158"/>
      <c r="AN946" s="158"/>
      <c r="AO946" s="158"/>
    </row>
    <row r="947">
      <c r="AM947" s="158"/>
      <c r="AN947" s="158"/>
      <c r="AO947" s="158"/>
    </row>
    <row r="948">
      <c r="AM948" s="158"/>
      <c r="AN948" s="158"/>
      <c r="AO948" s="158"/>
    </row>
    <row r="949">
      <c r="AM949" s="158"/>
      <c r="AN949" s="158"/>
      <c r="AO949" s="158"/>
    </row>
    <row r="950">
      <c r="AM950" s="158"/>
      <c r="AN950" s="158"/>
      <c r="AO950" s="158"/>
    </row>
    <row r="951">
      <c r="AM951" s="158"/>
      <c r="AN951" s="158"/>
      <c r="AO951" s="158"/>
    </row>
    <row r="952">
      <c r="AM952" s="158"/>
      <c r="AN952" s="158"/>
      <c r="AO952" s="158"/>
    </row>
    <row r="953">
      <c r="AM953" s="158"/>
      <c r="AN953" s="158"/>
      <c r="AO953" s="158"/>
    </row>
    <row r="954">
      <c r="AM954" s="158"/>
      <c r="AN954" s="158"/>
      <c r="AO954" s="158"/>
    </row>
    <row r="955">
      <c r="AM955" s="158"/>
      <c r="AN955" s="158"/>
      <c r="AO955" s="158"/>
    </row>
    <row r="956">
      <c r="AM956" s="158"/>
      <c r="AN956" s="158"/>
      <c r="AO956" s="158"/>
    </row>
    <row r="957">
      <c r="AM957" s="158"/>
      <c r="AN957" s="158"/>
      <c r="AO957" s="158"/>
    </row>
    <row r="958">
      <c r="AM958" s="158"/>
      <c r="AN958" s="158"/>
      <c r="AO958" s="158"/>
    </row>
    <row r="959">
      <c r="AM959" s="158"/>
      <c r="AN959" s="158"/>
      <c r="AO959" s="158"/>
    </row>
    <row r="960">
      <c r="AM960" s="158"/>
      <c r="AN960" s="158"/>
      <c r="AO960" s="158"/>
    </row>
    <row r="961">
      <c r="AM961" s="158"/>
      <c r="AN961" s="158"/>
      <c r="AO961" s="158"/>
    </row>
    <row r="962">
      <c r="AM962" s="158"/>
      <c r="AN962" s="158"/>
      <c r="AO962" s="158"/>
    </row>
    <row r="963">
      <c r="AM963" s="158"/>
      <c r="AN963" s="158"/>
      <c r="AO963" s="158"/>
    </row>
    <row r="964">
      <c r="AM964" s="158"/>
      <c r="AN964" s="158"/>
      <c r="AO964" s="158"/>
    </row>
    <row r="965">
      <c r="AM965" s="158"/>
      <c r="AN965" s="158"/>
      <c r="AO965" s="158"/>
    </row>
    <row r="966">
      <c r="AM966" s="158"/>
      <c r="AN966" s="158"/>
      <c r="AO966" s="158"/>
    </row>
    <row r="967">
      <c r="AM967" s="158"/>
      <c r="AN967" s="158"/>
      <c r="AO967" s="158"/>
    </row>
    <row r="968">
      <c r="AM968" s="158"/>
      <c r="AN968" s="158"/>
      <c r="AO968" s="158"/>
    </row>
    <row r="969">
      <c r="AM969" s="158"/>
      <c r="AN969" s="158"/>
      <c r="AO969" s="158"/>
    </row>
    <row r="970">
      <c r="AM970" s="158"/>
      <c r="AN970" s="158"/>
      <c r="AO970" s="158"/>
    </row>
    <row r="971">
      <c r="AM971" s="158"/>
      <c r="AN971" s="158"/>
      <c r="AO971" s="158"/>
    </row>
    <row r="972">
      <c r="AM972" s="158"/>
      <c r="AN972" s="158"/>
      <c r="AO972" s="158"/>
    </row>
    <row r="973">
      <c r="AM973" s="158"/>
      <c r="AN973" s="158"/>
      <c r="AO973" s="158"/>
    </row>
    <row r="974">
      <c r="AM974" s="158"/>
      <c r="AN974" s="158"/>
      <c r="AO974" s="158"/>
    </row>
    <row r="975">
      <c r="AM975" s="158"/>
      <c r="AN975" s="158"/>
      <c r="AO975" s="158"/>
    </row>
    <row r="976">
      <c r="AM976" s="158"/>
      <c r="AN976" s="158"/>
      <c r="AO976" s="158"/>
    </row>
    <row r="977">
      <c r="AM977" s="158"/>
      <c r="AN977" s="158"/>
      <c r="AO977" s="158"/>
    </row>
    <row r="978">
      <c r="AM978" s="158"/>
      <c r="AN978" s="158"/>
      <c r="AO978" s="158"/>
    </row>
    <row r="979">
      <c r="AM979" s="158"/>
      <c r="AN979" s="158"/>
      <c r="AO979" s="158"/>
    </row>
    <row r="980">
      <c r="AM980" s="158"/>
      <c r="AN980" s="158"/>
      <c r="AO980" s="158"/>
    </row>
    <row r="981">
      <c r="AM981" s="158"/>
      <c r="AN981" s="158"/>
      <c r="AO981" s="158"/>
    </row>
    <row r="982">
      <c r="AM982" s="158"/>
      <c r="AN982" s="158"/>
      <c r="AO982" s="158"/>
    </row>
    <row r="983">
      <c r="AM983" s="158"/>
      <c r="AN983" s="158"/>
      <c r="AO983" s="158"/>
    </row>
    <row r="984">
      <c r="AM984" s="158"/>
      <c r="AN984" s="158"/>
      <c r="AO984" s="158"/>
    </row>
    <row r="985">
      <c r="AM985" s="158"/>
      <c r="AN985" s="158"/>
      <c r="AO985" s="158"/>
    </row>
    <row r="986">
      <c r="AM986" s="158"/>
      <c r="AN986" s="158"/>
      <c r="AO986" s="158"/>
    </row>
    <row r="987">
      <c r="AM987" s="158"/>
      <c r="AN987" s="158"/>
      <c r="AO987" s="158"/>
    </row>
    <row r="988">
      <c r="AM988" s="158"/>
      <c r="AN988" s="158"/>
      <c r="AO988" s="158"/>
    </row>
    <row r="989">
      <c r="AM989" s="158"/>
      <c r="AN989" s="158"/>
      <c r="AO989" s="158"/>
    </row>
    <row r="990">
      <c r="AM990" s="158"/>
      <c r="AN990" s="158"/>
      <c r="AO990" s="158"/>
    </row>
    <row r="991">
      <c r="AM991" s="158"/>
      <c r="AN991" s="158"/>
      <c r="AO991" s="158"/>
    </row>
    <row r="992">
      <c r="AM992" s="158"/>
      <c r="AN992" s="158"/>
      <c r="AO992" s="158"/>
    </row>
    <row r="993">
      <c r="AM993" s="158"/>
      <c r="AN993" s="158"/>
      <c r="AO993" s="158"/>
    </row>
    <row r="994">
      <c r="AM994" s="158"/>
      <c r="AN994" s="158"/>
      <c r="AO994" s="158"/>
    </row>
    <row r="995">
      <c r="AM995" s="158"/>
      <c r="AN995" s="158"/>
      <c r="AO995" s="158"/>
    </row>
    <row r="996">
      <c r="AM996" s="158"/>
      <c r="AN996" s="158"/>
      <c r="AO996" s="158"/>
    </row>
    <row r="997">
      <c r="AM997" s="158"/>
      <c r="AN997" s="158"/>
      <c r="AO997" s="158"/>
    </row>
    <row r="998">
      <c r="AM998" s="158"/>
      <c r="AN998" s="158"/>
      <c r="AO998" s="158"/>
    </row>
    <row r="999">
      <c r="AM999" s="158"/>
      <c r="AN999" s="158"/>
      <c r="AO999" s="158"/>
    </row>
    <row r="1000">
      <c r="AM1000" s="158"/>
      <c r="AN1000" s="158"/>
      <c r="AO1000" s="158"/>
    </row>
    <row r="1001">
      <c r="AM1001" s="158"/>
      <c r="AN1001" s="158"/>
      <c r="AO1001" s="158"/>
    </row>
    <row r="1002">
      <c r="AM1002" s="158"/>
      <c r="AN1002" s="158"/>
      <c r="AO1002" s="158"/>
    </row>
    <row r="1003">
      <c r="AM1003" s="158"/>
      <c r="AN1003" s="158"/>
      <c r="AO1003" s="158"/>
    </row>
  </sheetData>
  <mergeCells count="95">
    <mergeCell ref="T92:V92"/>
    <mergeCell ref="T93:V93"/>
    <mergeCell ref="T94:V94"/>
    <mergeCell ref="T99:V99"/>
    <mergeCell ref="T100:V100"/>
    <mergeCell ref="T101:V101"/>
    <mergeCell ref="T102:V102"/>
    <mergeCell ref="T103:V103"/>
    <mergeCell ref="T104:V104"/>
    <mergeCell ref="T109:V109"/>
    <mergeCell ref="T119:V119"/>
    <mergeCell ref="T120:V120"/>
    <mergeCell ref="T121:V121"/>
    <mergeCell ref="T122:V122"/>
    <mergeCell ref="T123:V123"/>
    <mergeCell ref="T124:V124"/>
    <mergeCell ref="T133:V133"/>
    <mergeCell ref="T134:V134"/>
    <mergeCell ref="T135:V135"/>
    <mergeCell ref="T136:V136"/>
    <mergeCell ref="T137:V137"/>
    <mergeCell ref="T138:V138"/>
    <mergeCell ref="T143:V143"/>
    <mergeCell ref="T144:V144"/>
    <mergeCell ref="T145:V145"/>
    <mergeCell ref="T146:V146"/>
    <mergeCell ref="T147:V147"/>
    <mergeCell ref="T153:V153"/>
    <mergeCell ref="T154:V154"/>
    <mergeCell ref="T155:V155"/>
    <mergeCell ref="T156:V156"/>
    <mergeCell ref="T157:V157"/>
    <mergeCell ref="T158:V158"/>
    <mergeCell ref="T163:V163"/>
    <mergeCell ref="T164:V164"/>
    <mergeCell ref="T185:V185"/>
    <mergeCell ref="T186:V186"/>
    <mergeCell ref="T187:V187"/>
    <mergeCell ref="T188:V188"/>
    <mergeCell ref="T165:V165"/>
    <mergeCell ref="T166:V166"/>
    <mergeCell ref="T167:V167"/>
    <mergeCell ref="T168:V168"/>
    <mergeCell ref="T173:V173"/>
    <mergeCell ref="T183:V183"/>
    <mergeCell ref="T184:V184"/>
    <mergeCell ref="T4:V4"/>
    <mergeCell ref="T5:V5"/>
    <mergeCell ref="T6:V6"/>
    <mergeCell ref="T7:V7"/>
    <mergeCell ref="T8:V8"/>
    <mergeCell ref="T9:V9"/>
    <mergeCell ref="T14:V14"/>
    <mergeCell ref="T15:V15"/>
    <mergeCell ref="T16:V16"/>
    <mergeCell ref="T17:V17"/>
    <mergeCell ref="T18:V18"/>
    <mergeCell ref="T19:V19"/>
    <mergeCell ref="T24:V24"/>
    <mergeCell ref="T25:V25"/>
    <mergeCell ref="T26:V26"/>
    <mergeCell ref="T27:V27"/>
    <mergeCell ref="T28:V28"/>
    <mergeCell ref="T29:V29"/>
    <mergeCell ref="T34:V34"/>
    <mergeCell ref="T35:V35"/>
    <mergeCell ref="T36:V36"/>
    <mergeCell ref="T57:V57"/>
    <mergeCell ref="T58:V58"/>
    <mergeCell ref="T59:V59"/>
    <mergeCell ref="A62:AL63"/>
    <mergeCell ref="A64:AL64"/>
    <mergeCell ref="A65:AL65"/>
    <mergeCell ref="A66:AL67"/>
    <mergeCell ref="T37:V37"/>
    <mergeCell ref="T38:V38"/>
    <mergeCell ref="T39:V39"/>
    <mergeCell ref="T44:V44"/>
    <mergeCell ref="T54:V54"/>
    <mergeCell ref="T55:V55"/>
    <mergeCell ref="T56:V56"/>
    <mergeCell ref="T69:V69"/>
    <mergeCell ref="T70:V70"/>
    <mergeCell ref="T71:V71"/>
    <mergeCell ref="T72:V72"/>
    <mergeCell ref="T73:V73"/>
    <mergeCell ref="T74:V74"/>
    <mergeCell ref="T79:V79"/>
    <mergeCell ref="T80:V80"/>
    <mergeCell ref="T81:V81"/>
    <mergeCell ref="T82:V82"/>
    <mergeCell ref="T83:V83"/>
    <mergeCell ref="T89:V89"/>
    <mergeCell ref="T90:V90"/>
    <mergeCell ref="T91:V9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3" max="3" width="8.88"/>
    <col customWidth="1" min="4" max="4" width="23.88"/>
    <col customWidth="1" min="5" max="6" width="5.88"/>
    <col customWidth="1" min="7" max="7" width="5.5"/>
    <col customWidth="1" min="8" max="8" width="7.38"/>
    <col customWidth="1" min="9" max="9" width="6.38"/>
    <col customWidth="1" min="10" max="10" width="5.5"/>
    <col customWidth="1" min="11" max="11" width="7.5"/>
    <col customWidth="1" min="12" max="12" width="6.88"/>
    <col customWidth="1" min="13" max="13" width="6.0"/>
    <col customWidth="1" min="14" max="14" width="10.13"/>
    <col customWidth="1" min="17" max="17" width="13.25"/>
    <col customWidth="1" min="18" max="18" width="13.13"/>
    <col customWidth="1" min="22" max="22" width="6.25"/>
    <col customWidth="1" min="24" max="24" width="8.13"/>
    <col customWidth="1" min="25" max="25" width="12.25"/>
    <col customWidth="1" min="26" max="26" width="7.5"/>
    <col customWidth="1" min="27" max="27" width="8.75"/>
    <col customWidth="1" min="28" max="28" width="8.88"/>
    <col customWidth="1" min="29" max="29" width="6.25"/>
    <col customWidth="1" min="30" max="30" width="6.0"/>
    <col customWidth="1" min="31" max="32" width="7.63"/>
    <col customWidth="1" min="33" max="33" width="6.13"/>
    <col customWidth="1" min="34" max="34" width="6.5"/>
    <col customWidth="1" min="35" max="35" width="11.38"/>
  </cols>
  <sheetData>
    <row r="1">
      <c r="K1" s="44">
        <f>2.7-1.8</f>
        <v>0.9</v>
      </c>
      <c r="M1" s="44">
        <f>0.9/2</f>
        <v>0.45</v>
      </c>
      <c r="R1" s="149">
        <v>10.48</v>
      </c>
      <c r="U1" s="147">
        <f>R1+R2</f>
        <v>22.0076271</v>
      </c>
      <c r="V1" s="147">
        <f>U1*7820</f>
        <v>172099.644</v>
      </c>
      <c r="W1" s="147">
        <f>V1/1000</f>
        <v>172.099644</v>
      </c>
      <c r="AM1" s="307" t="s">
        <v>235</v>
      </c>
      <c r="AN1" s="307" t="s">
        <v>328</v>
      </c>
      <c r="AO1" s="307" t="s">
        <v>240</v>
      </c>
    </row>
    <row r="2">
      <c r="H2" s="44">
        <f>399.1-2.7</f>
        <v>396.4</v>
      </c>
      <c r="I2" s="147">
        <f>I4+2.7</f>
        <v>404.05</v>
      </c>
      <c r="O2" s="44">
        <v>0.45</v>
      </c>
      <c r="Q2" s="44" t="s">
        <v>329</v>
      </c>
      <c r="R2" s="147">
        <f>SUM(N10,N20,N30,N40,N50,N60,AI10,AI20,AI30,AI40,AI50,AI60)</f>
        <v>11.5276271</v>
      </c>
      <c r="S2" s="147">
        <f>R2*7820</f>
        <v>90146.04395</v>
      </c>
      <c r="T2" s="147">
        <f>S2/1000</f>
        <v>90.14604395</v>
      </c>
      <c r="AM2" s="158"/>
      <c r="AN2" s="158">
        <f>SUM(AM3:AM190)</f>
        <v>21.36945686</v>
      </c>
      <c r="AO2" s="158">
        <f>(AN2*7820)/1000</f>
        <v>167.1091527</v>
      </c>
    </row>
    <row r="3">
      <c r="B3" s="308" t="s">
        <v>330</v>
      </c>
      <c r="C3" s="309" t="s">
        <v>331</v>
      </c>
      <c r="D3" s="309" t="s">
        <v>332</v>
      </c>
      <c r="E3" s="309" t="s">
        <v>333</v>
      </c>
      <c r="F3" s="309" t="s">
        <v>334</v>
      </c>
      <c r="G3" s="309" t="s">
        <v>335</v>
      </c>
      <c r="H3" s="309" t="s">
        <v>336</v>
      </c>
      <c r="I3" s="309" t="s">
        <v>337</v>
      </c>
      <c r="J3" s="309" t="s">
        <v>338</v>
      </c>
      <c r="K3" s="309" t="s">
        <v>339</v>
      </c>
      <c r="L3" s="309" t="s">
        <v>340</v>
      </c>
      <c r="M3" s="309" t="s">
        <v>341</v>
      </c>
      <c r="N3" s="309" t="s">
        <v>235</v>
      </c>
      <c r="O3" s="309" t="s">
        <v>342</v>
      </c>
      <c r="P3" s="309" t="s">
        <v>229</v>
      </c>
      <c r="Q3" s="310"/>
      <c r="R3" s="311" t="s">
        <v>240</v>
      </c>
      <c r="W3" s="308" t="s">
        <v>330</v>
      </c>
      <c r="X3" s="309" t="s">
        <v>331</v>
      </c>
      <c r="Y3" s="309" t="s">
        <v>332</v>
      </c>
      <c r="Z3" s="309" t="s">
        <v>333</v>
      </c>
      <c r="AA3" s="309" t="s">
        <v>334</v>
      </c>
      <c r="AB3" s="309" t="s">
        <v>335</v>
      </c>
      <c r="AC3" s="309" t="s">
        <v>336</v>
      </c>
      <c r="AD3" s="309" t="s">
        <v>337</v>
      </c>
      <c r="AE3" s="309" t="s">
        <v>338</v>
      </c>
      <c r="AF3" s="309" t="s">
        <v>339</v>
      </c>
      <c r="AG3" s="309" t="s">
        <v>340</v>
      </c>
      <c r="AH3" s="309" t="s">
        <v>341</v>
      </c>
      <c r="AI3" s="309" t="s">
        <v>235</v>
      </c>
      <c r="AJ3" s="309" t="s">
        <v>342</v>
      </c>
      <c r="AK3" s="309" t="s">
        <v>229</v>
      </c>
      <c r="AL3" s="310"/>
      <c r="AM3" s="158"/>
      <c r="AN3" s="158"/>
      <c r="AO3" s="158"/>
    </row>
    <row r="4">
      <c r="B4" s="312" t="s">
        <v>343</v>
      </c>
      <c r="C4" s="313"/>
      <c r="D4" s="314">
        <v>1.0</v>
      </c>
      <c r="E4" s="314">
        <v>570.2</v>
      </c>
      <c r="F4" s="314">
        <v>570.2</v>
      </c>
      <c r="G4" s="315">
        <f t="shared" ref="G4:G9" si="1">SUM(E4:F4)</f>
        <v>1140.4</v>
      </c>
      <c r="H4" s="316">
        <f>399.1-0.45</f>
        <v>398.65</v>
      </c>
      <c r="I4" s="316">
        <f>400.9+0.45</f>
        <v>401.35</v>
      </c>
      <c r="J4" s="316">
        <f t="shared" ref="J4:J9" si="2">I4-H4</f>
        <v>2.7</v>
      </c>
      <c r="K4" s="316">
        <v>511.2</v>
      </c>
      <c r="L4" s="316">
        <v>567.4</v>
      </c>
      <c r="M4" s="313">
        <f t="shared" ref="M4:M9" si="3">L4-K4</f>
        <v>56.2</v>
      </c>
      <c r="N4" s="313">
        <f t="shared" ref="N4:N9" si="4">(G4*J4*M4)/1000000</f>
        <v>0.173044296</v>
      </c>
      <c r="O4" s="316">
        <v>7820.0</v>
      </c>
      <c r="P4" s="313">
        <f t="shared" ref="P4:P9" si="5">N4*O4</f>
        <v>1353.206395</v>
      </c>
      <c r="Q4" s="317"/>
      <c r="R4" s="318">
        <f>SUM(P11,P21,P31,P41,P51,P61,AK11,AK21,AK31,AK41,AK51,AK61)</f>
        <v>90.14604395</v>
      </c>
      <c r="S4" s="319" t="s">
        <v>343</v>
      </c>
      <c r="T4" s="319" t="s">
        <v>344</v>
      </c>
      <c r="W4" s="312" t="s">
        <v>345</v>
      </c>
      <c r="X4" s="313"/>
      <c r="Y4" s="314">
        <v>1.0</v>
      </c>
      <c r="Z4" s="314">
        <f>-400.9-0.45</f>
        <v>-401.35</v>
      </c>
      <c r="AA4" s="314">
        <f>-399.1+0.45</f>
        <v>-398.65</v>
      </c>
      <c r="AB4" s="316">
        <f t="shared" ref="AB4:AB9" si="6">AA4-Z4</f>
        <v>2.7</v>
      </c>
      <c r="AC4" s="316">
        <v>535.0</v>
      </c>
      <c r="AD4" s="316">
        <v>535.0</v>
      </c>
      <c r="AE4" s="313">
        <f t="shared" ref="AE4:AE9" si="7">AD4+AC4</f>
        <v>1070</v>
      </c>
      <c r="AF4" s="316">
        <v>511.2</v>
      </c>
      <c r="AG4" s="316">
        <v>567.4</v>
      </c>
      <c r="AH4" s="313">
        <f t="shared" ref="AH4:AH9" si="8">AG4-AF4</f>
        <v>56.2</v>
      </c>
      <c r="AI4" s="313">
        <f t="shared" ref="AI4:AI9" si="9">(AB4*AE4*AH4)/1000000</f>
        <v>0.1623618</v>
      </c>
      <c r="AJ4" s="316">
        <v>7820.0</v>
      </c>
      <c r="AK4" s="313">
        <f t="shared" ref="AK4:AK9" si="10">AI4*AJ4</f>
        <v>1269.669276</v>
      </c>
      <c r="AL4" s="317"/>
      <c r="AM4" s="158"/>
      <c r="AN4" s="158"/>
      <c r="AO4" s="158"/>
    </row>
    <row r="5">
      <c r="B5" s="312" t="s">
        <v>346</v>
      </c>
      <c r="C5" s="313"/>
      <c r="D5" s="314">
        <v>2.0</v>
      </c>
      <c r="E5" s="314">
        <v>570.2</v>
      </c>
      <c r="F5" s="314">
        <v>570.2</v>
      </c>
      <c r="G5" s="315">
        <f t="shared" si="1"/>
        <v>1140.4</v>
      </c>
      <c r="H5" s="316">
        <f>239.1-0.45</f>
        <v>238.65</v>
      </c>
      <c r="I5" s="316">
        <f>240.9+0.45</f>
        <v>241.35</v>
      </c>
      <c r="J5" s="316">
        <f t="shared" si="2"/>
        <v>2.7</v>
      </c>
      <c r="K5" s="316">
        <v>511.2</v>
      </c>
      <c r="L5" s="316">
        <v>567.4</v>
      </c>
      <c r="M5" s="313">
        <f t="shared" si="3"/>
        <v>56.2</v>
      </c>
      <c r="N5" s="313">
        <f t="shared" si="4"/>
        <v>0.173044296</v>
      </c>
      <c r="O5" s="316">
        <v>7820.0</v>
      </c>
      <c r="P5" s="313">
        <f t="shared" si="5"/>
        <v>1353.206395</v>
      </c>
      <c r="Q5" s="317"/>
      <c r="S5" s="319" t="s">
        <v>346</v>
      </c>
      <c r="T5" s="319" t="s">
        <v>344</v>
      </c>
      <c r="W5" s="312" t="s">
        <v>347</v>
      </c>
      <c r="X5" s="313"/>
      <c r="Y5" s="314">
        <v>2.0</v>
      </c>
      <c r="Z5" s="314">
        <f>-240.9-0.45</f>
        <v>-241.35</v>
      </c>
      <c r="AA5" s="314">
        <f>-239.1+0.45</f>
        <v>-238.65</v>
      </c>
      <c r="AB5" s="316">
        <f t="shared" si="6"/>
        <v>2.7</v>
      </c>
      <c r="AC5" s="316">
        <v>535.0</v>
      </c>
      <c r="AD5" s="316">
        <v>535.0</v>
      </c>
      <c r="AE5" s="313">
        <f t="shared" si="7"/>
        <v>1070</v>
      </c>
      <c r="AF5" s="316">
        <v>511.2</v>
      </c>
      <c r="AG5" s="316">
        <v>567.4</v>
      </c>
      <c r="AH5" s="313">
        <f t="shared" si="8"/>
        <v>56.2</v>
      </c>
      <c r="AI5" s="313">
        <f t="shared" si="9"/>
        <v>0.1623618</v>
      </c>
      <c r="AJ5" s="316">
        <v>7820.0</v>
      </c>
      <c r="AK5" s="313">
        <f t="shared" si="10"/>
        <v>1269.669276</v>
      </c>
      <c r="AL5" s="317"/>
      <c r="AM5" s="158"/>
      <c r="AN5" s="158"/>
      <c r="AO5" s="158"/>
    </row>
    <row r="6">
      <c r="B6" s="312" t="s">
        <v>348</v>
      </c>
      <c r="C6" s="313"/>
      <c r="D6" s="314">
        <v>3.0</v>
      </c>
      <c r="E6" s="314">
        <v>570.2</v>
      </c>
      <c r="F6" s="314">
        <v>570.2</v>
      </c>
      <c r="G6" s="315">
        <f t="shared" si="1"/>
        <v>1140.4</v>
      </c>
      <c r="H6" s="316">
        <f>79.1-0.45</f>
        <v>78.65</v>
      </c>
      <c r="I6" s="316">
        <f>80.9+0.45</f>
        <v>81.35</v>
      </c>
      <c r="J6" s="316">
        <f t="shared" si="2"/>
        <v>2.7</v>
      </c>
      <c r="K6" s="316">
        <v>511.2</v>
      </c>
      <c r="L6" s="316">
        <v>567.4</v>
      </c>
      <c r="M6" s="313">
        <f t="shared" si="3"/>
        <v>56.2</v>
      </c>
      <c r="N6" s="313">
        <f t="shared" si="4"/>
        <v>0.173044296</v>
      </c>
      <c r="O6" s="316">
        <v>7820.0</v>
      </c>
      <c r="P6" s="313">
        <f t="shared" si="5"/>
        <v>1353.206395</v>
      </c>
      <c r="Q6" s="317"/>
      <c r="S6" s="319" t="s">
        <v>348</v>
      </c>
      <c r="T6" s="319" t="s">
        <v>344</v>
      </c>
      <c r="W6" s="312" t="s">
        <v>349</v>
      </c>
      <c r="X6" s="313"/>
      <c r="Y6" s="314">
        <v>3.0</v>
      </c>
      <c r="Z6" s="314">
        <f>-80.9-0.45</f>
        <v>-81.35</v>
      </c>
      <c r="AA6" s="314">
        <f>-79.1+0.45</f>
        <v>-78.65</v>
      </c>
      <c r="AB6" s="316">
        <f t="shared" si="6"/>
        <v>2.7</v>
      </c>
      <c r="AC6" s="316">
        <v>535.0</v>
      </c>
      <c r="AD6" s="316">
        <v>535.0</v>
      </c>
      <c r="AE6" s="313">
        <f t="shared" si="7"/>
        <v>1070</v>
      </c>
      <c r="AF6" s="316">
        <v>511.2</v>
      </c>
      <c r="AG6" s="316">
        <v>567.4</v>
      </c>
      <c r="AH6" s="313">
        <f t="shared" si="8"/>
        <v>56.2</v>
      </c>
      <c r="AI6" s="313">
        <f t="shared" si="9"/>
        <v>0.1623618</v>
      </c>
      <c r="AJ6" s="316">
        <v>7820.0</v>
      </c>
      <c r="AK6" s="313">
        <f t="shared" si="10"/>
        <v>1269.669276</v>
      </c>
      <c r="AL6" s="317"/>
      <c r="AM6" s="158"/>
      <c r="AN6" s="158"/>
      <c r="AO6" s="158"/>
    </row>
    <row r="7">
      <c r="B7" s="312" t="s">
        <v>350</v>
      </c>
      <c r="C7" s="313"/>
      <c r="D7" s="314">
        <v>4.0</v>
      </c>
      <c r="E7" s="314">
        <v>570.2</v>
      </c>
      <c r="F7" s="314">
        <v>570.2</v>
      </c>
      <c r="G7" s="315">
        <f t="shared" si="1"/>
        <v>1140.4</v>
      </c>
      <c r="H7" s="316">
        <f>-80.9-0.45</f>
        <v>-81.35</v>
      </c>
      <c r="I7" s="316">
        <f>-79.1+0.45</f>
        <v>-78.65</v>
      </c>
      <c r="J7" s="316">
        <f t="shared" si="2"/>
        <v>2.7</v>
      </c>
      <c r="K7" s="316">
        <v>511.2</v>
      </c>
      <c r="L7" s="316">
        <v>567.4</v>
      </c>
      <c r="M7" s="313">
        <f t="shared" si="3"/>
        <v>56.2</v>
      </c>
      <c r="N7" s="313">
        <f t="shared" si="4"/>
        <v>0.173044296</v>
      </c>
      <c r="O7" s="316">
        <v>7820.0</v>
      </c>
      <c r="P7" s="313">
        <f t="shared" si="5"/>
        <v>1353.206395</v>
      </c>
      <c r="Q7" s="317"/>
      <c r="S7" s="319" t="s">
        <v>350</v>
      </c>
      <c r="T7" s="319" t="s">
        <v>344</v>
      </c>
      <c r="W7" s="312" t="s">
        <v>351</v>
      </c>
      <c r="X7" s="313"/>
      <c r="Y7" s="314">
        <v>4.0</v>
      </c>
      <c r="Z7" s="314">
        <f>79.1-0.45</f>
        <v>78.65</v>
      </c>
      <c r="AA7" s="314">
        <f>80.9+0.45</f>
        <v>81.35</v>
      </c>
      <c r="AB7" s="316">
        <f t="shared" si="6"/>
        <v>2.7</v>
      </c>
      <c r="AC7" s="316">
        <v>535.0</v>
      </c>
      <c r="AD7" s="316">
        <v>535.0</v>
      </c>
      <c r="AE7" s="313">
        <f t="shared" si="7"/>
        <v>1070</v>
      </c>
      <c r="AF7" s="316">
        <v>511.2</v>
      </c>
      <c r="AG7" s="316">
        <v>567.4</v>
      </c>
      <c r="AH7" s="313">
        <f t="shared" si="8"/>
        <v>56.2</v>
      </c>
      <c r="AI7" s="313">
        <f t="shared" si="9"/>
        <v>0.1623618</v>
      </c>
      <c r="AJ7" s="316">
        <v>7820.0</v>
      </c>
      <c r="AK7" s="313">
        <f t="shared" si="10"/>
        <v>1269.669276</v>
      </c>
      <c r="AL7" s="317"/>
      <c r="AM7" s="158"/>
      <c r="AN7" s="158"/>
      <c r="AO7" s="158"/>
    </row>
    <row r="8">
      <c r="B8" s="312" t="s">
        <v>352</v>
      </c>
      <c r="C8" s="313"/>
      <c r="D8" s="314">
        <v>5.0</v>
      </c>
      <c r="E8" s="314">
        <v>570.2</v>
      </c>
      <c r="F8" s="314">
        <v>570.2</v>
      </c>
      <c r="G8" s="315">
        <f t="shared" si="1"/>
        <v>1140.4</v>
      </c>
      <c r="H8" s="316">
        <f>-240.9-0.45</f>
        <v>-241.35</v>
      </c>
      <c r="I8" s="316">
        <f>-239.1+0.45</f>
        <v>-238.65</v>
      </c>
      <c r="J8" s="316">
        <f t="shared" si="2"/>
        <v>2.7</v>
      </c>
      <c r="K8" s="316">
        <v>511.2</v>
      </c>
      <c r="L8" s="316">
        <v>567.4</v>
      </c>
      <c r="M8" s="313">
        <f t="shared" si="3"/>
        <v>56.2</v>
      </c>
      <c r="N8" s="313">
        <f t="shared" si="4"/>
        <v>0.173044296</v>
      </c>
      <c r="O8" s="316">
        <v>7820.0</v>
      </c>
      <c r="P8" s="313">
        <f t="shared" si="5"/>
        <v>1353.206395</v>
      </c>
      <c r="Q8" s="317"/>
      <c r="S8" s="319" t="s">
        <v>352</v>
      </c>
      <c r="T8" s="319" t="s">
        <v>344</v>
      </c>
      <c r="W8" s="312" t="s">
        <v>353</v>
      </c>
      <c r="X8" s="313"/>
      <c r="Y8" s="314">
        <v>5.0</v>
      </c>
      <c r="Z8" s="314">
        <f>239.1-0.45</f>
        <v>238.65</v>
      </c>
      <c r="AA8" s="314">
        <f>240.9+0.45</f>
        <v>241.35</v>
      </c>
      <c r="AB8" s="316">
        <f t="shared" si="6"/>
        <v>2.7</v>
      </c>
      <c r="AC8" s="316">
        <v>535.0</v>
      </c>
      <c r="AD8" s="316">
        <v>535.0</v>
      </c>
      <c r="AE8" s="313">
        <f t="shared" si="7"/>
        <v>1070</v>
      </c>
      <c r="AF8" s="316">
        <v>511.2</v>
      </c>
      <c r="AG8" s="316">
        <v>567.4</v>
      </c>
      <c r="AH8" s="313">
        <f t="shared" si="8"/>
        <v>56.2</v>
      </c>
      <c r="AI8" s="313">
        <f t="shared" si="9"/>
        <v>0.1623618</v>
      </c>
      <c r="AJ8" s="316">
        <v>7820.0</v>
      </c>
      <c r="AK8" s="313">
        <f t="shared" si="10"/>
        <v>1269.669276</v>
      </c>
      <c r="AL8" s="317"/>
      <c r="AM8" s="158"/>
      <c r="AN8" s="158"/>
      <c r="AO8" s="158"/>
    </row>
    <row r="9">
      <c r="B9" s="312" t="s">
        <v>354</v>
      </c>
      <c r="C9" s="313"/>
      <c r="D9" s="314">
        <v>6.0</v>
      </c>
      <c r="E9" s="314">
        <v>570.2</v>
      </c>
      <c r="F9" s="314">
        <v>570.2</v>
      </c>
      <c r="G9" s="315">
        <f t="shared" si="1"/>
        <v>1140.4</v>
      </c>
      <c r="H9" s="316">
        <f>-400.9-0.45</f>
        <v>-401.35</v>
      </c>
      <c r="I9" s="316">
        <f>-399.1+0.45</f>
        <v>-398.65</v>
      </c>
      <c r="J9" s="316">
        <f t="shared" si="2"/>
        <v>2.7</v>
      </c>
      <c r="K9" s="316">
        <v>511.2</v>
      </c>
      <c r="L9" s="316">
        <v>567.4</v>
      </c>
      <c r="M9" s="313">
        <f t="shared" si="3"/>
        <v>56.2</v>
      </c>
      <c r="N9" s="313">
        <f t="shared" si="4"/>
        <v>0.173044296</v>
      </c>
      <c r="O9" s="316">
        <v>7820.0</v>
      </c>
      <c r="P9" s="313">
        <f t="shared" si="5"/>
        <v>1353.206395</v>
      </c>
      <c r="Q9" s="317"/>
      <c r="S9" s="319" t="s">
        <v>354</v>
      </c>
      <c r="T9" s="319" t="s">
        <v>344</v>
      </c>
      <c r="W9" s="312" t="s">
        <v>355</v>
      </c>
      <c r="X9" s="313"/>
      <c r="Y9" s="314">
        <v>6.0</v>
      </c>
      <c r="Z9" s="314">
        <f>399.1-0.45</f>
        <v>398.65</v>
      </c>
      <c r="AA9" s="314">
        <f>400.9+0.45</f>
        <v>401.35</v>
      </c>
      <c r="AB9" s="316">
        <f t="shared" si="6"/>
        <v>2.7</v>
      </c>
      <c r="AC9" s="316">
        <v>535.0</v>
      </c>
      <c r="AD9" s="316">
        <v>535.0</v>
      </c>
      <c r="AE9" s="313">
        <f t="shared" si="7"/>
        <v>1070</v>
      </c>
      <c r="AF9" s="316">
        <v>511.2</v>
      </c>
      <c r="AG9" s="316">
        <v>567.4</v>
      </c>
      <c r="AH9" s="313">
        <f t="shared" si="8"/>
        <v>56.2</v>
      </c>
      <c r="AI9" s="313">
        <f t="shared" si="9"/>
        <v>0.1623618</v>
      </c>
      <c r="AJ9" s="316">
        <v>7820.0</v>
      </c>
      <c r="AK9" s="313">
        <f t="shared" si="10"/>
        <v>1269.669276</v>
      </c>
      <c r="AL9" s="317"/>
      <c r="AM9" s="158"/>
      <c r="AN9" s="158"/>
      <c r="AO9" s="158"/>
    </row>
    <row r="10">
      <c r="B10" s="320"/>
      <c r="C10" s="313"/>
      <c r="D10" s="316" t="s">
        <v>294</v>
      </c>
      <c r="E10" s="313"/>
      <c r="F10" s="313"/>
      <c r="G10" s="313"/>
      <c r="H10" s="313"/>
      <c r="I10" s="313"/>
      <c r="J10" s="313"/>
      <c r="K10" s="313"/>
      <c r="L10" s="313"/>
      <c r="M10" s="313"/>
      <c r="N10" s="313">
        <f>SUM(N4:N9)</f>
        <v>1.038265776</v>
      </c>
      <c r="O10" s="313"/>
      <c r="P10" s="313">
        <f>SUM(P4:P9)</f>
        <v>8119.238368</v>
      </c>
      <c r="Q10" s="317"/>
      <c r="S10" s="321"/>
      <c r="T10" s="321"/>
      <c r="U10" s="321"/>
      <c r="V10" s="321"/>
      <c r="W10" s="320"/>
      <c r="X10" s="313"/>
      <c r="Y10" s="316" t="s">
        <v>294</v>
      </c>
      <c r="Z10" s="313"/>
      <c r="AA10" s="313"/>
      <c r="AB10" s="313"/>
      <c r="AC10" s="313"/>
      <c r="AD10" s="313"/>
      <c r="AE10" s="313"/>
      <c r="AF10" s="313"/>
      <c r="AG10" s="313"/>
      <c r="AH10" s="313"/>
      <c r="AI10" s="313">
        <f>SUM(AI4:AI9)</f>
        <v>0.9741708</v>
      </c>
      <c r="AJ10" s="313"/>
      <c r="AK10" s="313">
        <f>SUM(AK4:AK9)</f>
        <v>7618.015656</v>
      </c>
      <c r="AL10" s="317"/>
      <c r="AM10" s="158">
        <f>AI10+N10</f>
        <v>2.012436576</v>
      </c>
      <c r="AN10" s="158"/>
      <c r="AO10" s="158"/>
    </row>
    <row r="11">
      <c r="B11" s="320"/>
      <c r="C11" s="313"/>
      <c r="D11" s="313"/>
      <c r="E11" s="313"/>
      <c r="F11" s="313"/>
      <c r="G11" s="313"/>
      <c r="H11" s="313"/>
      <c r="I11" s="313"/>
      <c r="J11" s="313"/>
      <c r="K11" s="313"/>
      <c r="L11" s="313"/>
      <c r="M11" s="313"/>
      <c r="N11" s="313"/>
      <c r="O11" s="313"/>
      <c r="P11" s="313">
        <f>P10/1000</f>
        <v>8.119238368</v>
      </c>
      <c r="Q11" s="322" t="s">
        <v>356</v>
      </c>
      <c r="S11" s="321"/>
      <c r="T11" s="321"/>
      <c r="U11" s="321"/>
      <c r="V11" s="321"/>
      <c r="W11" s="320"/>
      <c r="X11" s="313"/>
      <c r="Y11" s="313"/>
      <c r="Z11" s="313"/>
      <c r="AA11" s="313"/>
      <c r="AB11" s="313"/>
      <c r="AC11" s="313"/>
      <c r="AD11" s="313"/>
      <c r="AE11" s="313"/>
      <c r="AF11" s="313"/>
      <c r="AG11" s="313"/>
      <c r="AH11" s="313"/>
      <c r="AI11" s="313"/>
      <c r="AJ11" s="313"/>
      <c r="AK11" s="313">
        <f>AK10/1000</f>
        <v>7.618015656</v>
      </c>
      <c r="AL11" s="322" t="s">
        <v>356</v>
      </c>
      <c r="AM11" s="307"/>
      <c r="AN11" s="307"/>
      <c r="AO11" s="307"/>
    </row>
    <row r="12">
      <c r="B12" s="320"/>
      <c r="C12" s="313"/>
      <c r="D12" s="313"/>
      <c r="E12" s="313"/>
      <c r="F12" s="313"/>
      <c r="G12" s="313"/>
      <c r="H12" s="313"/>
      <c r="I12" s="313"/>
      <c r="J12" s="313"/>
      <c r="K12" s="313"/>
      <c r="L12" s="313"/>
      <c r="M12" s="313"/>
      <c r="N12" s="313"/>
      <c r="O12" s="313"/>
      <c r="P12" s="313"/>
      <c r="Q12" s="322"/>
      <c r="S12" s="321"/>
      <c r="T12" s="321"/>
      <c r="U12" s="321"/>
      <c r="V12" s="321"/>
      <c r="W12" s="320"/>
      <c r="X12" s="313"/>
      <c r="Y12" s="313"/>
      <c r="Z12" s="313"/>
      <c r="AA12" s="313"/>
      <c r="AB12" s="313"/>
      <c r="AC12" s="313"/>
      <c r="AD12" s="313"/>
      <c r="AE12" s="313"/>
      <c r="AF12" s="313"/>
      <c r="AG12" s="313"/>
      <c r="AH12" s="313"/>
      <c r="AI12" s="313"/>
      <c r="AJ12" s="313"/>
      <c r="AK12" s="313"/>
      <c r="AL12" s="322"/>
      <c r="AM12" s="307"/>
      <c r="AN12" s="307"/>
      <c r="AO12" s="307"/>
    </row>
    <row r="13">
      <c r="B13" s="323" t="s">
        <v>330</v>
      </c>
      <c r="C13" s="316" t="s">
        <v>357</v>
      </c>
      <c r="D13" s="316" t="s">
        <v>332</v>
      </c>
      <c r="E13" s="316" t="s">
        <v>333</v>
      </c>
      <c r="F13" s="316" t="s">
        <v>334</v>
      </c>
      <c r="G13" s="316" t="s">
        <v>335</v>
      </c>
      <c r="H13" s="316" t="s">
        <v>336</v>
      </c>
      <c r="I13" s="316" t="s">
        <v>337</v>
      </c>
      <c r="J13" s="316" t="s">
        <v>338</v>
      </c>
      <c r="K13" s="316" t="s">
        <v>339</v>
      </c>
      <c r="L13" s="316" t="s">
        <v>340</v>
      </c>
      <c r="M13" s="316" t="s">
        <v>341</v>
      </c>
      <c r="N13" s="316" t="s">
        <v>235</v>
      </c>
      <c r="O13" s="316" t="s">
        <v>342</v>
      </c>
      <c r="P13" s="316" t="s">
        <v>229</v>
      </c>
      <c r="Q13" s="317"/>
      <c r="S13" s="321"/>
      <c r="T13" s="321"/>
      <c r="U13" s="321"/>
      <c r="V13" s="321"/>
      <c r="W13" s="323" t="s">
        <v>330</v>
      </c>
      <c r="X13" s="316" t="s">
        <v>357</v>
      </c>
      <c r="Y13" s="316" t="s">
        <v>332</v>
      </c>
      <c r="Z13" s="316" t="s">
        <v>333</v>
      </c>
      <c r="AA13" s="316" t="s">
        <v>334</v>
      </c>
      <c r="AB13" s="316" t="s">
        <v>335</v>
      </c>
      <c r="AC13" s="316" t="s">
        <v>336</v>
      </c>
      <c r="AD13" s="316" t="s">
        <v>337</v>
      </c>
      <c r="AE13" s="316" t="s">
        <v>338</v>
      </c>
      <c r="AF13" s="316" t="s">
        <v>339</v>
      </c>
      <c r="AG13" s="316" t="s">
        <v>340</v>
      </c>
      <c r="AH13" s="316" t="s">
        <v>341</v>
      </c>
      <c r="AI13" s="316" t="s">
        <v>235</v>
      </c>
      <c r="AJ13" s="316" t="s">
        <v>342</v>
      </c>
      <c r="AK13" s="316" t="s">
        <v>229</v>
      </c>
      <c r="AL13" s="317"/>
      <c r="AM13" s="158"/>
      <c r="AN13" s="158"/>
      <c r="AO13" s="158"/>
    </row>
    <row r="14">
      <c r="B14" s="312" t="s">
        <v>358</v>
      </c>
      <c r="C14" s="313"/>
      <c r="D14" s="316">
        <v>1.0</v>
      </c>
      <c r="E14" s="314">
        <v>570.2</v>
      </c>
      <c r="F14" s="314">
        <v>570.2</v>
      </c>
      <c r="G14" s="315">
        <f t="shared" ref="G14:G19" si="11">SUM(E14:F14)</f>
        <v>1140.4</v>
      </c>
      <c r="H14" s="316">
        <f>399.1-0.45</f>
        <v>398.65</v>
      </c>
      <c r="I14" s="316">
        <f>400.9+0.45</f>
        <v>401.35</v>
      </c>
      <c r="J14" s="316">
        <f t="shared" ref="J14:J19" si="12">I14-H14</f>
        <v>2.7</v>
      </c>
      <c r="K14" s="316">
        <v>-567.4</v>
      </c>
      <c r="L14" s="316">
        <v>-511.2</v>
      </c>
      <c r="M14" s="313">
        <f t="shared" ref="M14:M19" si="13">L14-K14</f>
        <v>56.2</v>
      </c>
      <c r="N14" s="313">
        <f t="shared" ref="N14:N19" si="14">(G14*J14*M14)/1000000</f>
        <v>0.173044296</v>
      </c>
      <c r="O14" s="316">
        <v>7820.0</v>
      </c>
      <c r="P14" s="313">
        <f t="shared" ref="P14:P19" si="15">N14*O14</f>
        <v>1353.206395</v>
      </c>
      <c r="Q14" s="317"/>
      <c r="S14" s="319" t="s">
        <v>358</v>
      </c>
      <c r="T14" s="319" t="s">
        <v>359</v>
      </c>
      <c r="W14" s="312" t="s">
        <v>360</v>
      </c>
      <c r="X14" s="313"/>
      <c r="Y14" s="314">
        <v>1.0</v>
      </c>
      <c r="Z14" s="314">
        <f>-400.9-0.45</f>
        <v>-401.35</v>
      </c>
      <c r="AA14" s="314">
        <f>-399.1+0.45</f>
        <v>-398.65</v>
      </c>
      <c r="AB14" s="316">
        <f t="shared" ref="AB14:AB19" si="16">AA14-Z14</f>
        <v>2.7</v>
      </c>
      <c r="AC14" s="316">
        <v>535.0</v>
      </c>
      <c r="AD14" s="316">
        <v>535.0</v>
      </c>
      <c r="AE14" s="313">
        <f t="shared" ref="AE14:AE19" si="17">AD14+AC14</f>
        <v>1070</v>
      </c>
      <c r="AF14" s="316">
        <v>-567.4</v>
      </c>
      <c r="AG14" s="316">
        <v>-511.2</v>
      </c>
      <c r="AH14" s="313">
        <f t="shared" ref="AH14:AH19" si="18">AG14-AF14</f>
        <v>56.2</v>
      </c>
      <c r="AI14" s="313">
        <f t="shared" ref="AI14:AI19" si="19">(AB14*AE14*AH14)/1000000</f>
        <v>0.1623618</v>
      </c>
      <c r="AJ14" s="316">
        <v>7820.0</v>
      </c>
      <c r="AK14" s="313">
        <f t="shared" ref="AK14:AK19" si="20">AI14*AJ14</f>
        <v>1269.669276</v>
      </c>
      <c r="AL14" s="317"/>
      <c r="AM14" s="158"/>
      <c r="AN14" s="158"/>
      <c r="AO14" s="158"/>
    </row>
    <row r="15">
      <c r="B15" s="312" t="s">
        <v>361</v>
      </c>
      <c r="C15" s="313"/>
      <c r="D15" s="316">
        <v>2.0</v>
      </c>
      <c r="E15" s="314">
        <v>570.2</v>
      </c>
      <c r="F15" s="314">
        <v>570.2</v>
      </c>
      <c r="G15" s="315">
        <f t="shared" si="11"/>
        <v>1140.4</v>
      </c>
      <c r="H15" s="316">
        <f>239.1-0.45</f>
        <v>238.65</v>
      </c>
      <c r="I15" s="316">
        <f>240.9+0.45</f>
        <v>241.35</v>
      </c>
      <c r="J15" s="316">
        <f t="shared" si="12"/>
        <v>2.7</v>
      </c>
      <c r="K15" s="316">
        <v>-567.4</v>
      </c>
      <c r="L15" s="316">
        <v>-511.2</v>
      </c>
      <c r="M15" s="313">
        <f t="shared" si="13"/>
        <v>56.2</v>
      </c>
      <c r="N15" s="313">
        <f t="shared" si="14"/>
        <v>0.173044296</v>
      </c>
      <c r="O15" s="316">
        <v>7820.0</v>
      </c>
      <c r="P15" s="313">
        <f t="shared" si="15"/>
        <v>1353.206395</v>
      </c>
      <c r="Q15" s="317"/>
      <c r="S15" s="319" t="s">
        <v>361</v>
      </c>
      <c r="T15" s="319" t="s">
        <v>359</v>
      </c>
      <c r="W15" s="312" t="s">
        <v>362</v>
      </c>
      <c r="X15" s="313"/>
      <c r="Y15" s="314">
        <v>2.0</v>
      </c>
      <c r="Z15" s="314">
        <f>-240.9-0.45</f>
        <v>-241.35</v>
      </c>
      <c r="AA15" s="314">
        <f>-239.1+0.45</f>
        <v>-238.65</v>
      </c>
      <c r="AB15" s="316">
        <f t="shared" si="16"/>
        <v>2.7</v>
      </c>
      <c r="AC15" s="316">
        <v>535.0</v>
      </c>
      <c r="AD15" s="316">
        <v>535.0</v>
      </c>
      <c r="AE15" s="313">
        <f t="shared" si="17"/>
        <v>1070</v>
      </c>
      <c r="AF15" s="316">
        <v>-567.4</v>
      </c>
      <c r="AG15" s="316">
        <v>-511.2</v>
      </c>
      <c r="AH15" s="313">
        <f t="shared" si="18"/>
        <v>56.2</v>
      </c>
      <c r="AI15" s="313">
        <f t="shared" si="19"/>
        <v>0.1623618</v>
      </c>
      <c r="AJ15" s="316">
        <v>7820.0</v>
      </c>
      <c r="AK15" s="313">
        <f t="shared" si="20"/>
        <v>1269.669276</v>
      </c>
      <c r="AL15" s="317"/>
      <c r="AM15" s="158"/>
      <c r="AN15" s="158"/>
      <c r="AO15" s="158"/>
    </row>
    <row r="16">
      <c r="B16" s="312" t="s">
        <v>363</v>
      </c>
      <c r="C16" s="313"/>
      <c r="D16" s="316">
        <v>3.0</v>
      </c>
      <c r="E16" s="314">
        <v>570.2</v>
      </c>
      <c r="F16" s="314">
        <v>570.2</v>
      </c>
      <c r="G16" s="315">
        <f t="shared" si="11"/>
        <v>1140.4</v>
      </c>
      <c r="H16" s="316">
        <f>79.1-0.45</f>
        <v>78.65</v>
      </c>
      <c r="I16" s="316">
        <f>80.9+0.45</f>
        <v>81.35</v>
      </c>
      <c r="J16" s="316">
        <f t="shared" si="12"/>
        <v>2.7</v>
      </c>
      <c r="K16" s="316">
        <v>-567.4</v>
      </c>
      <c r="L16" s="316">
        <v>-511.2</v>
      </c>
      <c r="M16" s="313">
        <f t="shared" si="13"/>
        <v>56.2</v>
      </c>
      <c r="N16" s="313">
        <f t="shared" si="14"/>
        <v>0.173044296</v>
      </c>
      <c r="O16" s="316">
        <v>7820.0</v>
      </c>
      <c r="P16" s="313">
        <f t="shared" si="15"/>
        <v>1353.206395</v>
      </c>
      <c r="Q16" s="317"/>
      <c r="S16" s="319" t="s">
        <v>363</v>
      </c>
      <c r="T16" s="319" t="s">
        <v>359</v>
      </c>
      <c r="W16" s="312" t="s">
        <v>364</v>
      </c>
      <c r="X16" s="313"/>
      <c r="Y16" s="314">
        <v>3.0</v>
      </c>
      <c r="Z16" s="314">
        <f>-80.9-0.45</f>
        <v>-81.35</v>
      </c>
      <c r="AA16" s="314">
        <f>-79.1+0.45</f>
        <v>-78.65</v>
      </c>
      <c r="AB16" s="316">
        <f t="shared" si="16"/>
        <v>2.7</v>
      </c>
      <c r="AC16" s="316">
        <v>535.0</v>
      </c>
      <c r="AD16" s="316">
        <v>535.0</v>
      </c>
      <c r="AE16" s="313">
        <f t="shared" si="17"/>
        <v>1070</v>
      </c>
      <c r="AF16" s="316">
        <v>-567.4</v>
      </c>
      <c r="AG16" s="316">
        <v>-511.2</v>
      </c>
      <c r="AH16" s="313">
        <f t="shared" si="18"/>
        <v>56.2</v>
      </c>
      <c r="AI16" s="313">
        <f t="shared" si="19"/>
        <v>0.1623618</v>
      </c>
      <c r="AJ16" s="316">
        <v>7820.0</v>
      </c>
      <c r="AK16" s="313">
        <f t="shared" si="20"/>
        <v>1269.669276</v>
      </c>
      <c r="AL16" s="317"/>
      <c r="AM16" s="158"/>
      <c r="AN16" s="158"/>
      <c r="AO16" s="158"/>
    </row>
    <row r="17">
      <c r="B17" s="312" t="s">
        <v>365</v>
      </c>
      <c r="C17" s="313"/>
      <c r="D17" s="316">
        <v>4.0</v>
      </c>
      <c r="E17" s="314">
        <v>570.2</v>
      </c>
      <c r="F17" s="314">
        <v>570.2</v>
      </c>
      <c r="G17" s="315">
        <f t="shared" si="11"/>
        <v>1140.4</v>
      </c>
      <c r="H17" s="316">
        <f>-80.9-0.45</f>
        <v>-81.35</v>
      </c>
      <c r="I17" s="316">
        <f>-79.1+0.45</f>
        <v>-78.65</v>
      </c>
      <c r="J17" s="316">
        <f t="shared" si="12"/>
        <v>2.7</v>
      </c>
      <c r="K17" s="316">
        <v>-567.4</v>
      </c>
      <c r="L17" s="316">
        <v>-511.2</v>
      </c>
      <c r="M17" s="313">
        <f t="shared" si="13"/>
        <v>56.2</v>
      </c>
      <c r="N17" s="313">
        <f t="shared" si="14"/>
        <v>0.173044296</v>
      </c>
      <c r="O17" s="316">
        <v>7820.0</v>
      </c>
      <c r="P17" s="313">
        <f t="shared" si="15"/>
        <v>1353.206395</v>
      </c>
      <c r="Q17" s="317"/>
      <c r="S17" s="319" t="s">
        <v>365</v>
      </c>
      <c r="T17" s="319" t="s">
        <v>359</v>
      </c>
      <c r="W17" s="312" t="s">
        <v>366</v>
      </c>
      <c r="X17" s="313"/>
      <c r="Y17" s="314">
        <v>4.0</v>
      </c>
      <c r="Z17" s="314">
        <f>79.1-0.45</f>
        <v>78.65</v>
      </c>
      <c r="AA17" s="314">
        <f>80.9+0.45</f>
        <v>81.35</v>
      </c>
      <c r="AB17" s="316">
        <f t="shared" si="16"/>
        <v>2.7</v>
      </c>
      <c r="AC17" s="316">
        <v>535.0</v>
      </c>
      <c r="AD17" s="316">
        <v>535.0</v>
      </c>
      <c r="AE17" s="313">
        <f t="shared" si="17"/>
        <v>1070</v>
      </c>
      <c r="AF17" s="316">
        <v>-567.4</v>
      </c>
      <c r="AG17" s="316">
        <v>-511.2</v>
      </c>
      <c r="AH17" s="313">
        <f t="shared" si="18"/>
        <v>56.2</v>
      </c>
      <c r="AI17" s="313">
        <f t="shared" si="19"/>
        <v>0.1623618</v>
      </c>
      <c r="AJ17" s="316">
        <v>7820.0</v>
      </c>
      <c r="AK17" s="313">
        <f t="shared" si="20"/>
        <v>1269.669276</v>
      </c>
      <c r="AL17" s="317"/>
      <c r="AM17" s="158"/>
      <c r="AN17" s="158"/>
      <c r="AO17" s="158"/>
    </row>
    <row r="18">
      <c r="B18" s="312" t="s">
        <v>367</v>
      </c>
      <c r="C18" s="313"/>
      <c r="D18" s="316">
        <v>5.0</v>
      </c>
      <c r="E18" s="314">
        <v>570.2</v>
      </c>
      <c r="F18" s="314">
        <v>570.2</v>
      </c>
      <c r="G18" s="315">
        <f t="shared" si="11"/>
        <v>1140.4</v>
      </c>
      <c r="H18" s="316">
        <f>-240.9-0.45</f>
        <v>-241.35</v>
      </c>
      <c r="I18" s="316">
        <f>-239.1+0.45</f>
        <v>-238.65</v>
      </c>
      <c r="J18" s="316">
        <f t="shared" si="12"/>
        <v>2.7</v>
      </c>
      <c r="K18" s="316">
        <v>-567.4</v>
      </c>
      <c r="L18" s="316">
        <v>-511.2</v>
      </c>
      <c r="M18" s="313">
        <f t="shared" si="13"/>
        <v>56.2</v>
      </c>
      <c r="N18" s="313">
        <f t="shared" si="14"/>
        <v>0.173044296</v>
      </c>
      <c r="O18" s="316">
        <v>7820.0</v>
      </c>
      <c r="P18" s="313">
        <f t="shared" si="15"/>
        <v>1353.206395</v>
      </c>
      <c r="Q18" s="317"/>
      <c r="S18" s="319" t="s">
        <v>367</v>
      </c>
      <c r="T18" s="319" t="s">
        <v>359</v>
      </c>
      <c r="W18" s="312" t="s">
        <v>368</v>
      </c>
      <c r="X18" s="313"/>
      <c r="Y18" s="314">
        <v>5.0</v>
      </c>
      <c r="Z18" s="314">
        <f>239.1-0.45</f>
        <v>238.65</v>
      </c>
      <c r="AA18" s="314">
        <f>240.9+0.45</f>
        <v>241.35</v>
      </c>
      <c r="AB18" s="316">
        <f t="shared" si="16"/>
        <v>2.7</v>
      </c>
      <c r="AC18" s="316">
        <v>535.0</v>
      </c>
      <c r="AD18" s="316">
        <v>535.0</v>
      </c>
      <c r="AE18" s="313">
        <f t="shared" si="17"/>
        <v>1070</v>
      </c>
      <c r="AF18" s="316">
        <v>-567.4</v>
      </c>
      <c r="AG18" s="316">
        <v>-511.2</v>
      </c>
      <c r="AH18" s="313">
        <f t="shared" si="18"/>
        <v>56.2</v>
      </c>
      <c r="AI18" s="313">
        <f t="shared" si="19"/>
        <v>0.1623618</v>
      </c>
      <c r="AJ18" s="316">
        <v>7820.0</v>
      </c>
      <c r="AK18" s="313">
        <f t="shared" si="20"/>
        <v>1269.669276</v>
      </c>
      <c r="AL18" s="317"/>
      <c r="AM18" s="158"/>
      <c r="AN18" s="158"/>
      <c r="AO18" s="158"/>
    </row>
    <row r="19">
      <c r="B19" s="312" t="s">
        <v>369</v>
      </c>
      <c r="C19" s="313"/>
      <c r="D19" s="316">
        <v>6.0</v>
      </c>
      <c r="E19" s="314">
        <v>570.2</v>
      </c>
      <c r="F19" s="314">
        <v>570.2</v>
      </c>
      <c r="G19" s="315">
        <f t="shared" si="11"/>
        <v>1140.4</v>
      </c>
      <c r="H19" s="316">
        <f>-400.9-0.45</f>
        <v>-401.35</v>
      </c>
      <c r="I19" s="316">
        <f>-399.1+0.45</f>
        <v>-398.65</v>
      </c>
      <c r="J19" s="316">
        <f t="shared" si="12"/>
        <v>2.7</v>
      </c>
      <c r="K19" s="316">
        <v>-567.4</v>
      </c>
      <c r="L19" s="316">
        <v>-511.2</v>
      </c>
      <c r="M19" s="313">
        <f t="shared" si="13"/>
        <v>56.2</v>
      </c>
      <c r="N19" s="313">
        <f t="shared" si="14"/>
        <v>0.173044296</v>
      </c>
      <c r="O19" s="316">
        <v>7820.0</v>
      </c>
      <c r="P19" s="313">
        <f t="shared" si="15"/>
        <v>1353.206395</v>
      </c>
      <c r="Q19" s="317"/>
      <c r="S19" s="319" t="s">
        <v>369</v>
      </c>
      <c r="T19" s="319" t="s">
        <v>359</v>
      </c>
      <c r="W19" s="312" t="s">
        <v>370</v>
      </c>
      <c r="X19" s="313"/>
      <c r="Y19" s="314">
        <v>6.0</v>
      </c>
      <c r="Z19" s="314">
        <f>399.1-0.45</f>
        <v>398.65</v>
      </c>
      <c r="AA19" s="314">
        <f>400.9+0.45</f>
        <v>401.35</v>
      </c>
      <c r="AB19" s="316">
        <f t="shared" si="16"/>
        <v>2.7</v>
      </c>
      <c r="AC19" s="316">
        <v>535.0</v>
      </c>
      <c r="AD19" s="316">
        <v>535.0</v>
      </c>
      <c r="AE19" s="313">
        <f t="shared" si="17"/>
        <v>1070</v>
      </c>
      <c r="AF19" s="316">
        <v>-567.4</v>
      </c>
      <c r="AG19" s="316">
        <v>-511.2</v>
      </c>
      <c r="AH19" s="313">
        <f t="shared" si="18"/>
        <v>56.2</v>
      </c>
      <c r="AI19" s="313">
        <f t="shared" si="19"/>
        <v>0.1623618</v>
      </c>
      <c r="AJ19" s="316">
        <v>7820.0</v>
      </c>
      <c r="AK19" s="313">
        <f t="shared" si="20"/>
        <v>1269.669276</v>
      </c>
      <c r="AL19" s="317"/>
      <c r="AM19" s="158"/>
      <c r="AN19" s="158"/>
      <c r="AO19" s="158"/>
    </row>
    <row r="20">
      <c r="B20" s="320"/>
      <c r="C20" s="313"/>
      <c r="D20" s="316" t="s">
        <v>294</v>
      </c>
      <c r="E20" s="313"/>
      <c r="F20" s="313"/>
      <c r="G20" s="313"/>
      <c r="H20" s="313"/>
      <c r="I20" s="313"/>
      <c r="J20" s="313"/>
      <c r="K20" s="313"/>
      <c r="L20" s="313"/>
      <c r="M20" s="313"/>
      <c r="N20" s="313">
        <f>SUM(N14:N19)</f>
        <v>1.038265776</v>
      </c>
      <c r="O20" s="313"/>
      <c r="P20" s="313">
        <f>SUM(P14:P19)</f>
        <v>8119.238368</v>
      </c>
      <c r="Q20" s="317"/>
      <c r="S20" s="321"/>
      <c r="T20" s="321"/>
      <c r="U20" s="321"/>
      <c r="V20" s="321"/>
      <c r="W20" s="320"/>
      <c r="X20" s="313"/>
      <c r="Y20" s="316" t="s">
        <v>294</v>
      </c>
      <c r="Z20" s="313"/>
      <c r="AA20" s="313"/>
      <c r="AB20" s="313"/>
      <c r="AC20" s="313"/>
      <c r="AD20" s="313"/>
      <c r="AE20" s="313"/>
      <c r="AF20" s="313"/>
      <c r="AG20" s="313"/>
      <c r="AH20" s="313"/>
      <c r="AI20" s="313">
        <f>SUM(AI14:AI19)</f>
        <v>0.9741708</v>
      </c>
      <c r="AJ20" s="313"/>
      <c r="AK20" s="313">
        <f>SUM(AK14:AK19)</f>
        <v>7618.015656</v>
      </c>
      <c r="AL20" s="317"/>
      <c r="AM20" s="158">
        <f>AI20+N20</f>
        <v>2.012436576</v>
      </c>
      <c r="AN20" s="158"/>
      <c r="AO20" s="158"/>
    </row>
    <row r="21">
      <c r="B21" s="324"/>
      <c r="C21" s="325"/>
      <c r="D21" s="325"/>
      <c r="E21" s="325"/>
      <c r="F21" s="325"/>
      <c r="G21" s="325"/>
      <c r="H21" s="325"/>
      <c r="I21" s="325"/>
      <c r="J21" s="325"/>
      <c r="K21" s="325"/>
      <c r="L21" s="325"/>
      <c r="M21" s="325"/>
      <c r="N21" s="325"/>
      <c r="O21" s="325"/>
      <c r="P21" s="325">
        <f>P20/1000</f>
        <v>8.119238368</v>
      </c>
      <c r="Q21" s="326" t="s">
        <v>371</v>
      </c>
      <c r="S21" s="321"/>
      <c r="T21" s="321"/>
      <c r="U21" s="321"/>
      <c r="V21" s="321"/>
      <c r="W21" s="324"/>
      <c r="X21" s="325"/>
      <c r="Y21" s="325"/>
      <c r="Z21" s="325"/>
      <c r="AA21" s="325"/>
      <c r="AB21" s="325"/>
      <c r="AC21" s="325"/>
      <c r="AD21" s="325"/>
      <c r="AE21" s="325"/>
      <c r="AF21" s="325"/>
      <c r="AG21" s="325"/>
      <c r="AH21" s="325"/>
      <c r="AI21" s="325"/>
      <c r="AJ21" s="325"/>
      <c r="AK21" s="325">
        <f>AK20/1000</f>
        <v>7.618015656</v>
      </c>
      <c r="AL21" s="326" t="s">
        <v>371</v>
      </c>
      <c r="AM21" s="307"/>
      <c r="AN21" s="307"/>
      <c r="AO21" s="307"/>
    </row>
    <row r="22">
      <c r="Q22" s="44"/>
      <c r="S22" s="321"/>
      <c r="T22" s="321"/>
      <c r="U22" s="321"/>
      <c r="V22" s="321"/>
      <c r="AM22" s="158"/>
      <c r="AN22" s="158"/>
      <c r="AO22" s="158"/>
    </row>
    <row r="23">
      <c r="B23" s="327" t="s">
        <v>330</v>
      </c>
      <c r="C23" s="328" t="s">
        <v>372</v>
      </c>
      <c r="D23" s="328" t="s">
        <v>332</v>
      </c>
      <c r="E23" s="328" t="s">
        <v>333</v>
      </c>
      <c r="F23" s="328" t="s">
        <v>334</v>
      </c>
      <c r="G23" s="328" t="s">
        <v>335</v>
      </c>
      <c r="H23" s="328" t="s">
        <v>336</v>
      </c>
      <c r="I23" s="328" t="s">
        <v>337</v>
      </c>
      <c r="J23" s="328" t="s">
        <v>338</v>
      </c>
      <c r="K23" s="328" t="s">
        <v>339</v>
      </c>
      <c r="L23" s="328" t="s">
        <v>340</v>
      </c>
      <c r="M23" s="328" t="s">
        <v>341</v>
      </c>
      <c r="N23" s="328" t="s">
        <v>235</v>
      </c>
      <c r="O23" s="328" t="s">
        <v>342</v>
      </c>
      <c r="P23" s="328" t="s">
        <v>229</v>
      </c>
      <c r="Q23" s="329"/>
      <c r="S23" s="321"/>
      <c r="T23" s="321"/>
      <c r="U23" s="321"/>
      <c r="V23" s="321"/>
      <c r="W23" s="327" t="s">
        <v>330</v>
      </c>
      <c r="X23" s="328" t="s">
        <v>372</v>
      </c>
      <c r="Y23" s="328" t="s">
        <v>332</v>
      </c>
      <c r="Z23" s="328" t="s">
        <v>333</v>
      </c>
      <c r="AA23" s="328" t="s">
        <v>334</v>
      </c>
      <c r="AB23" s="328" t="s">
        <v>335</v>
      </c>
      <c r="AC23" s="328" t="s">
        <v>336</v>
      </c>
      <c r="AD23" s="328" t="s">
        <v>337</v>
      </c>
      <c r="AE23" s="328" t="s">
        <v>338</v>
      </c>
      <c r="AF23" s="328" t="s">
        <v>339</v>
      </c>
      <c r="AG23" s="328" t="s">
        <v>340</v>
      </c>
      <c r="AH23" s="328" t="s">
        <v>341</v>
      </c>
      <c r="AI23" s="328" t="s">
        <v>235</v>
      </c>
      <c r="AJ23" s="328" t="s">
        <v>342</v>
      </c>
      <c r="AK23" s="328" t="s">
        <v>229</v>
      </c>
      <c r="AL23" s="329"/>
      <c r="AM23" s="158"/>
      <c r="AN23" s="158"/>
      <c r="AO23" s="158"/>
    </row>
    <row r="24">
      <c r="B24" s="330" t="s">
        <v>373</v>
      </c>
      <c r="C24" s="331"/>
      <c r="D24" s="332">
        <v>1.0</v>
      </c>
      <c r="E24" s="333">
        <v>508.4</v>
      </c>
      <c r="F24" s="333">
        <v>508.4</v>
      </c>
      <c r="G24" s="334">
        <f t="shared" ref="G24:G29" si="21">SUM(E24:F24)</f>
        <v>1016.8</v>
      </c>
      <c r="H24" s="332">
        <v>478.8</v>
      </c>
      <c r="I24" s="332">
        <v>535.0</v>
      </c>
      <c r="J24" s="331">
        <f t="shared" ref="J24:J29" si="22">I24-H24</f>
        <v>56.2</v>
      </c>
      <c r="K24" s="333">
        <v>-401.34999999999997</v>
      </c>
      <c r="L24" s="333">
        <v>-398.65000000000003</v>
      </c>
      <c r="M24" s="316">
        <f t="shared" ref="M24:M29" si="23">L24-K24</f>
        <v>2.7</v>
      </c>
      <c r="N24" s="331">
        <f t="shared" ref="N24:N29" si="24">(G24*J24*M24)/1000000</f>
        <v>0.154289232</v>
      </c>
      <c r="O24" s="332">
        <v>7820.0</v>
      </c>
      <c r="P24" s="331">
        <f t="shared" ref="P24:P29" si="25">N24*O24</f>
        <v>1206.541794</v>
      </c>
      <c r="Q24" s="335"/>
      <c r="S24" s="319" t="s">
        <v>374</v>
      </c>
      <c r="T24" s="319" t="s">
        <v>375</v>
      </c>
      <c r="W24" s="330" t="s">
        <v>374</v>
      </c>
      <c r="X24" s="331"/>
      <c r="Y24" s="332">
        <v>1.0</v>
      </c>
      <c r="Z24" s="316">
        <f>399.1-0.45</f>
        <v>398.65</v>
      </c>
      <c r="AA24" s="316">
        <f>400.9+0.45</f>
        <v>401.35</v>
      </c>
      <c r="AB24" s="316">
        <f t="shared" ref="AB24:AB29" si="26">AA24-Z24</f>
        <v>2.7</v>
      </c>
      <c r="AC24" s="332">
        <v>478.8</v>
      </c>
      <c r="AD24" s="332">
        <v>535.0</v>
      </c>
      <c r="AE24" s="331">
        <f t="shared" ref="AE24:AE29" si="27">AD24-AC24</f>
        <v>56.2</v>
      </c>
      <c r="AF24" s="332">
        <v>508.4</v>
      </c>
      <c r="AG24" s="332">
        <v>508.4</v>
      </c>
      <c r="AH24" s="331">
        <f t="shared" ref="AH24:AH29" si="28">AF24+AG24</f>
        <v>1016.8</v>
      </c>
      <c r="AI24" s="331">
        <f t="shared" ref="AI24:AI29" si="29">(AB24*AE24*AH24)/1000000</f>
        <v>0.154289232</v>
      </c>
      <c r="AJ24" s="332">
        <v>7820.0</v>
      </c>
      <c r="AK24" s="331">
        <f t="shared" ref="AK24:AK29" si="30">AI24*AJ24</f>
        <v>1206.541794</v>
      </c>
      <c r="AL24" s="335"/>
      <c r="AM24" s="158"/>
      <c r="AN24" s="158"/>
      <c r="AO24" s="158"/>
    </row>
    <row r="25">
      <c r="B25" s="330" t="s">
        <v>376</v>
      </c>
      <c r="C25" s="331"/>
      <c r="D25" s="332">
        <v>2.0</v>
      </c>
      <c r="E25" s="333">
        <v>508.4</v>
      </c>
      <c r="F25" s="333">
        <v>508.4</v>
      </c>
      <c r="G25" s="334">
        <f t="shared" si="21"/>
        <v>1016.8</v>
      </c>
      <c r="H25" s="332">
        <v>478.8</v>
      </c>
      <c r="I25" s="332">
        <v>535.0</v>
      </c>
      <c r="J25" s="331">
        <f t="shared" si="22"/>
        <v>56.2</v>
      </c>
      <c r="K25" s="333">
        <v>-241.35</v>
      </c>
      <c r="L25" s="333">
        <v>-238.65</v>
      </c>
      <c r="M25" s="316">
        <f t="shared" si="23"/>
        <v>2.7</v>
      </c>
      <c r="N25" s="331">
        <f t="shared" si="24"/>
        <v>0.154289232</v>
      </c>
      <c r="O25" s="332">
        <v>7820.0</v>
      </c>
      <c r="P25" s="331">
        <f t="shared" si="25"/>
        <v>1206.541794</v>
      </c>
      <c r="Q25" s="335"/>
      <c r="S25" s="319" t="s">
        <v>377</v>
      </c>
      <c r="T25" s="319" t="s">
        <v>375</v>
      </c>
      <c r="W25" s="330" t="s">
        <v>377</v>
      </c>
      <c r="X25" s="331"/>
      <c r="Y25" s="332">
        <v>2.0</v>
      </c>
      <c r="Z25" s="316">
        <f>239.1-0.45</f>
        <v>238.65</v>
      </c>
      <c r="AA25" s="316">
        <f>240.9+0.45</f>
        <v>241.35</v>
      </c>
      <c r="AB25" s="316">
        <f t="shared" si="26"/>
        <v>2.7</v>
      </c>
      <c r="AC25" s="332">
        <v>478.8</v>
      </c>
      <c r="AD25" s="332">
        <v>535.0</v>
      </c>
      <c r="AE25" s="331">
        <f t="shared" si="27"/>
        <v>56.2</v>
      </c>
      <c r="AF25" s="332">
        <v>508.4</v>
      </c>
      <c r="AG25" s="332">
        <v>508.4</v>
      </c>
      <c r="AH25" s="331">
        <f t="shared" si="28"/>
        <v>1016.8</v>
      </c>
      <c r="AI25" s="331">
        <f t="shared" si="29"/>
        <v>0.154289232</v>
      </c>
      <c r="AJ25" s="332">
        <v>7820.0</v>
      </c>
      <c r="AK25" s="331">
        <f t="shared" si="30"/>
        <v>1206.541794</v>
      </c>
      <c r="AL25" s="335"/>
      <c r="AM25" s="158"/>
      <c r="AN25" s="158"/>
      <c r="AO25" s="158"/>
    </row>
    <row r="26">
      <c r="B26" s="330" t="s">
        <v>378</v>
      </c>
      <c r="C26" s="331"/>
      <c r="D26" s="332">
        <v>3.0</v>
      </c>
      <c r="E26" s="333">
        <v>508.4</v>
      </c>
      <c r="F26" s="333">
        <v>508.4</v>
      </c>
      <c r="G26" s="334">
        <f t="shared" si="21"/>
        <v>1016.8</v>
      </c>
      <c r="H26" s="332">
        <v>478.8</v>
      </c>
      <c r="I26" s="332">
        <v>535.0</v>
      </c>
      <c r="J26" s="331">
        <f t="shared" si="22"/>
        <v>56.2</v>
      </c>
      <c r="K26" s="333">
        <v>-81.35000000000001</v>
      </c>
      <c r="L26" s="333">
        <v>-78.64999999999999</v>
      </c>
      <c r="M26" s="316">
        <f t="shared" si="23"/>
        <v>2.7</v>
      </c>
      <c r="N26" s="331">
        <f t="shared" si="24"/>
        <v>0.154289232</v>
      </c>
      <c r="O26" s="332">
        <v>7820.0</v>
      </c>
      <c r="P26" s="331">
        <f t="shared" si="25"/>
        <v>1206.541794</v>
      </c>
      <c r="Q26" s="335"/>
      <c r="S26" s="319" t="s">
        <v>379</v>
      </c>
      <c r="T26" s="319" t="s">
        <v>375</v>
      </c>
      <c r="W26" s="330" t="s">
        <v>379</v>
      </c>
      <c r="X26" s="331"/>
      <c r="Y26" s="332">
        <v>3.0</v>
      </c>
      <c r="Z26" s="316">
        <f>79.1-0.45</f>
        <v>78.65</v>
      </c>
      <c r="AA26" s="316">
        <f>80.9+0.45</f>
        <v>81.35</v>
      </c>
      <c r="AB26" s="316">
        <f t="shared" si="26"/>
        <v>2.7</v>
      </c>
      <c r="AC26" s="332">
        <v>478.8</v>
      </c>
      <c r="AD26" s="332">
        <v>535.0</v>
      </c>
      <c r="AE26" s="331">
        <f t="shared" si="27"/>
        <v>56.2</v>
      </c>
      <c r="AF26" s="332">
        <v>508.4</v>
      </c>
      <c r="AG26" s="332">
        <v>508.4</v>
      </c>
      <c r="AH26" s="331">
        <f t="shared" si="28"/>
        <v>1016.8</v>
      </c>
      <c r="AI26" s="331">
        <f t="shared" si="29"/>
        <v>0.154289232</v>
      </c>
      <c r="AJ26" s="332">
        <v>7820.0</v>
      </c>
      <c r="AK26" s="331">
        <f t="shared" si="30"/>
        <v>1206.541794</v>
      </c>
      <c r="AL26" s="335"/>
      <c r="AM26" s="158"/>
      <c r="AN26" s="158"/>
      <c r="AO26" s="158"/>
    </row>
    <row r="27">
      <c r="B27" s="330" t="s">
        <v>380</v>
      </c>
      <c r="C27" s="331"/>
      <c r="D27" s="332">
        <v>4.0</v>
      </c>
      <c r="E27" s="333">
        <v>508.4</v>
      </c>
      <c r="F27" s="333">
        <v>508.4</v>
      </c>
      <c r="G27" s="334">
        <f t="shared" si="21"/>
        <v>1016.8</v>
      </c>
      <c r="H27" s="332">
        <v>478.8</v>
      </c>
      <c r="I27" s="332">
        <v>535.0</v>
      </c>
      <c r="J27" s="331">
        <f t="shared" si="22"/>
        <v>56.2</v>
      </c>
      <c r="K27" s="333">
        <v>78.64999999999999</v>
      </c>
      <c r="L27" s="333">
        <v>81.35000000000001</v>
      </c>
      <c r="M27" s="316">
        <f t="shared" si="23"/>
        <v>2.7</v>
      </c>
      <c r="N27" s="331">
        <f t="shared" si="24"/>
        <v>0.154289232</v>
      </c>
      <c r="O27" s="332">
        <v>7820.0</v>
      </c>
      <c r="P27" s="331">
        <f t="shared" si="25"/>
        <v>1206.541794</v>
      </c>
      <c r="Q27" s="335"/>
      <c r="S27" s="319" t="s">
        <v>381</v>
      </c>
      <c r="T27" s="319" t="s">
        <v>375</v>
      </c>
      <c r="W27" s="330" t="s">
        <v>381</v>
      </c>
      <c r="X27" s="331"/>
      <c r="Y27" s="332">
        <v>4.0</v>
      </c>
      <c r="Z27" s="316">
        <f>-80.9-0.45</f>
        <v>-81.35</v>
      </c>
      <c r="AA27" s="316">
        <f>-79.1+0.45</f>
        <v>-78.65</v>
      </c>
      <c r="AB27" s="316">
        <f t="shared" si="26"/>
        <v>2.7</v>
      </c>
      <c r="AC27" s="332">
        <v>478.8</v>
      </c>
      <c r="AD27" s="332">
        <v>535.0</v>
      </c>
      <c r="AE27" s="331">
        <f t="shared" si="27"/>
        <v>56.2</v>
      </c>
      <c r="AF27" s="332">
        <v>508.4</v>
      </c>
      <c r="AG27" s="332">
        <v>508.4</v>
      </c>
      <c r="AH27" s="331">
        <f t="shared" si="28"/>
        <v>1016.8</v>
      </c>
      <c r="AI27" s="331">
        <f t="shared" si="29"/>
        <v>0.154289232</v>
      </c>
      <c r="AJ27" s="332">
        <v>7820.0</v>
      </c>
      <c r="AK27" s="331">
        <f t="shared" si="30"/>
        <v>1206.541794</v>
      </c>
      <c r="AL27" s="335"/>
      <c r="AM27" s="158"/>
      <c r="AN27" s="158"/>
      <c r="AO27" s="158"/>
    </row>
    <row r="28">
      <c r="B28" s="330" t="s">
        <v>382</v>
      </c>
      <c r="C28" s="331"/>
      <c r="D28" s="332">
        <v>5.0</v>
      </c>
      <c r="E28" s="333">
        <v>508.4</v>
      </c>
      <c r="F28" s="333">
        <v>508.4</v>
      </c>
      <c r="G28" s="334">
        <f t="shared" si="21"/>
        <v>1016.8</v>
      </c>
      <c r="H28" s="332">
        <v>478.8</v>
      </c>
      <c r="I28" s="332">
        <v>535.0</v>
      </c>
      <c r="J28" s="331">
        <f t="shared" si="22"/>
        <v>56.2</v>
      </c>
      <c r="K28" s="333">
        <v>238.65</v>
      </c>
      <c r="L28" s="333">
        <v>241.35</v>
      </c>
      <c r="M28" s="316">
        <f t="shared" si="23"/>
        <v>2.7</v>
      </c>
      <c r="N28" s="331">
        <f t="shared" si="24"/>
        <v>0.154289232</v>
      </c>
      <c r="O28" s="332">
        <v>7820.0</v>
      </c>
      <c r="P28" s="331">
        <f t="shared" si="25"/>
        <v>1206.541794</v>
      </c>
      <c r="Q28" s="335"/>
      <c r="S28" s="319" t="s">
        <v>383</v>
      </c>
      <c r="T28" s="319" t="s">
        <v>375</v>
      </c>
      <c r="W28" s="330" t="s">
        <v>383</v>
      </c>
      <c r="X28" s="331"/>
      <c r="Y28" s="332">
        <v>5.0</v>
      </c>
      <c r="Z28" s="316">
        <f>-240.9-0.45</f>
        <v>-241.35</v>
      </c>
      <c r="AA28" s="316">
        <f>-239.1+0.45</f>
        <v>-238.65</v>
      </c>
      <c r="AB28" s="316">
        <f t="shared" si="26"/>
        <v>2.7</v>
      </c>
      <c r="AC28" s="332">
        <v>478.8</v>
      </c>
      <c r="AD28" s="332">
        <v>535.0</v>
      </c>
      <c r="AE28" s="331">
        <f t="shared" si="27"/>
        <v>56.2</v>
      </c>
      <c r="AF28" s="332">
        <v>508.4</v>
      </c>
      <c r="AG28" s="332">
        <v>508.4</v>
      </c>
      <c r="AH28" s="331">
        <f t="shared" si="28"/>
        <v>1016.8</v>
      </c>
      <c r="AI28" s="331">
        <f t="shared" si="29"/>
        <v>0.154289232</v>
      </c>
      <c r="AJ28" s="332">
        <v>7820.0</v>
      </c>
      <c r="AK28" s="331">
        <f t="shared" si="30"/>
        <v>1206.541794</v>
      </c>
      <c r="AL28" s="335"/>
      <c r="AM28" s="158"/>
      <c r="AN28" s="158"/>
      <c r="AO28" s="158"/>
    </row>
    <row r="29">
      <c r="B29" s="330" t="s">
        <v>384</v>
      </c>
      <c r="C29" s="331"/>
      <c r="D29" s="332">
        <v>6.0</v>
      </c>
      <c r="E29" s="333">
        <v>508.4</v>
      </c>
      <c r="F29" s="333">
        <v>508.4</v>
      </c>
      <c r="G29" s="334">
        <f t="shared" si="21"/>
        <v>1016.8</v>
      </c>
      <c r="H29" s="332">
        <v>478.8</v>
      </c>
      <c r="I29" s="332">
        <v>535.0</v>
      </c>
      <c r="J29" s="331">
        <f t="shared" si="22"/>
        <v>56.2</v>
      </c>
      <c r="K29" s="333">
        <v>398.65000000000003</v>
      </c>
      <c r="L29" s="333">
        <v>401.34999999999997</v>
      </c>
      <c r="M29" s="316">
        <f t="shared" si="23"/>
        <v>2.7</v>
      </c>
      <c r="N29" s="331">
        <f t="shared" si="24"/>
        <v>0.154289232</v>
      </c>
      <c r="O29" s="332">
        <v>7820.0</v>
      </c>
      <c r="P29" s="331">
        <f t="shared" si="25"/>
        <v>1206.541794</v>
      </c>
      <c r="Q29" s="335"/>
      <c r="S29" s="319" t="s">
        <v>385</v>
      </c>
      <c r="T29" s="319" t="s">
        <v>375</v>
      </c>
      <c r="W29" s="330" t="s">
        <v>385</v>
      </c>
      <c r="X29" s="331"/>
      <c r="Y29" s="332">
        <v>6.0</v>
      </c>
      <c r="Z29" s="316">
        <f>-400.9-0.45</f>
        <v>-401.35</v>
      </c>
      <c r="AA29" s="316">
        <f>-399.1+0.45</f>
        <v>-398.65</v>
      </c>
      <c r="AB29" s="316">
        <f t="shared" si="26"/>
        <v>2.7</v>
      </c>
      <c r="AC29" s="332">
        <v>478.8</v>
      </c>
      <c r="AD29" s="332">
        <v>535.0</v>
      </c>
      <c r="AE29" s="331">
        <f t="shared" si="27"/>
        <v>56.2</v>
      </c>
      <c r="AF29" s="332">
        <v>508.4</v>
      </c>
      <c r="AG29" s="332">
        <v>508.4</v>
      </c>
      <c r="AH29" s="331">
        <f t="shared" si="28"/>
        <v>1016.8</v>
      </c>
      <c r="AI29" s="331">
        <f t="shared" si="29"/>
        <v>0.154289232</v>
      </c>
      <c r="AJ29" s="332">
        <v>7820.0</v>
      </c>
      <c r="AK29" s="331">
        <f t="shared" si="30"/>
        <v>1206.541794</v>
      </c>
      <c r="AL29" s="335"/>
      <c r="AM29" s="158"/>
      <c r="AN29" s="158"/>
      <c r="AO29" s="158"/>
    </row>
    <row r="30">
      <c r="B30" s="336"/>
      <c r="C30" s="331"/>
      <c r="D30" s="332" t="s">
        <v>294</v>
      </c>
      <c r="E30" s="331"/>
      <c r="F30" s="331"/>
      <c r="G30" s="331"/>
      <c r="H30" s="331"/>
      <c r="I30" s="331"/>
      <c r="J30" s="331"/>
      <c r="K30" s="331"/>
      <c r="L30" s="331"/>
      <c r="M30" s="331"/>
      <c r="N30" s="331">
        <f>SUM(N24:N29)</f>
        <v>0.925735392</v>
      </c>
      <c r="O30" s="331"/>
      <c r="P30" s="331">
        <f>SUM(P24:P29)</f>
        <v>7239.250765</v>
      </c>
      <c r="Q30" s="335"/>
      <c r="S30" s="321"/>
      <c r="T30" s="321"/>
      <c r="U30" s="321"/>
      <c r="V30" s="321"/>
      <c r="W30" s="336"/>
      <c r="X30" s="331"/>
      <c r="Y30" s="332" t="s">
        <v>294</v>
      </c>
      <c r="Z30" s="331"/>
      <c r="AA30" s="331"/>
      <c r="AB30" s="331"/>
      <c r="AC30" s="331"/>
      <c r="AD30" s="331"/>
      <c r="AE30" s="331"/>
      <c r="AF30" s="331"/>
      <c r="AG30" s="331"/>
      <c r="AH30" s="331"/>
      <c r="AI30" s="331">
        <f>SUM(AI24:AI29)</f>
        <v>0.925735392</v>
      </c>
      <c r="AJ30" s="331"/>
      <c r="AK30" s="331">
        <f>SUM(AK24:AK29)</f>
        <v>7239.250765</v>
      </c>
      <c r="AL30" s="335"/>
      <c r="AM30" s="158">
        <f>AI30+N30</f>
        <v>1.851470784</v>
      </c>
      <c r="AN30" s="158"/>
      <c r="AO30" s="158"/>
    </row>
    <row r="31">
      <c r="B31" s="336"/>
      <c r="C31" s="331"/>
      <c r="D31" s="331"/>
      <c r="E31" s="331"/>
      <c r="F31" s="331"/>
      <c r="G31" s="331"/>
      <c r="H31" s="331"/>
      <c r="I31" s="331"/>
      <c r="J31" s="331"/>
      <c r="K31" s="331"/>
      <c r="L31" s="331"/>
      <c r="M31" s="331"/>
      <c r="N31" s="331"/>
      <c r="O31" s="331"/>
      <c r="P31" s="331">
        <f>P30/1000</f>
        <v>7.239250765</v>
      </c>
      <c r="Q31" s="337" t="s">
        <v>371</v>
      </c>
      <c r="S31" s="321"/>
      <c r="T31" s="321"/>
      <c r="U31" s="321"/>
      <c r="V31" s="321"/>
      <c r="W31" s="336"/>
      <c r="X31" s="331"/>
      <c r="Y31" s="331"/>
      <c r="Z31" s="331"/>
      <c r="AA31" s="331"/>
      <c r="AB31" s="331"/>
      <c r="AC31" s="331"/>
      <c r="AD31" s="331"/>
      <c r="AE31" s="331"/>
      <c r="AF31" s="331"/>
      <c r="AG31" s="331"/>
      <c r="AH31" s="331"/>
      <c r="AI31" s="331"/>
      <c r="AJ31" s="331"/>
      <c r="AK31" s="331">
        <f>AK30/1000</f>
        <v>7.239250765</v>
      </c>
      <c r="AL31" s="337" t="s">
        <v>371</v>
      </c>
      <c r="AM31" s="307"/>
      <c r="AN31" s="307"/>
      <c r="AO31" s="307"/>
    </row>
    <row r="32">
      <c r="B32" s="336"/>
      <c r="C32" s="331"/>
      <c r="D32" s="331"/>
      <c r="E32" s="331"/>
      <c r="F32" s="331"/>
      <c r="G32" s="331"/>
      <c r="H32" s="331"/>
      <c r="I32" s="331"/>
      <c r="J32" s="331"/>
      <c r="K32" s="331"/>
      <c r="L32" s="331"/>
      <c r="M32" s="331"/>
      <c r="N32" s="331"/>
      <c r="O32" s="331"/>
      <c r="P32" s="331"/>
      <c r="Q32" s="337"/>
      <c r="S32" s="321"/>
      <c r="T32" s="321"/>
      <c r="U32" s="321"/>
      <c r="V32" s="321"/>
      <c r="W32" s="336"/>
      <c r="X32" s="331"/>
      <c r="Y32" s="331"/>
      <c r="Z32" s="331"/>
      <c r="AA32" s="331"/>
      <c r="AB32" s="331"/>
      <c r="AC32" s="331"/>
      <c r="AD32" s="331"/>
      <c r="AE32" s="331"/>
      <c r="AF32" s="331"/>
      <c r="AG32" s="331"/>
      <c r="AH32" s="331"/>
      <c r="AI32" s="331"/>
      <c r="AJ32" s="331"/>
      <c r="AK32" s="331"/>
      <c r="AL32" s="337"/>
      <c r="AM32" s="307"/>
      <c r="AN32" s="307"/>
      <c r="AO32" s="307"/>
    </row>
    <row r="33">
      <c r="B33" s="338" t="s">
        <v>330</v>
      </c>
      <c r="C33" s="332" t="s">
        <v>386</v>
      </c>
      <c r="D33" s="332" t="s">
        <v>332</v>
      </c>
      <c r="E33" s="332" t="s">
        <v>333</v>
      </c>
      <c r="F33" s="332" t="s">
        <v>334</v>
      </c>
      <c r="G33" s="332" t="s">
        <v>335</v>
      </c>
      <c r="H33" s="332" t="s">
        <v>336</v>
      </c>
      <c r="I33" s="332" t="s">
        <v>337</v>
      </c>
      <c r="J33" s="332" t="s">
        <v>338</v>
      </c>
      <c r="K33" s="332" t="s">
        <v>339</v>
      </c>
      <c r="L33" s="332" t="s">
        <v>340</v>
      </c>
      <c r="M33" s="332" t="s">
        <v>341</v>
      </c>
      <c r="N33" s="332" t="s">
        <v>235</v>
      </c>
      <c r="O33" s="332" t="s">
        <v>342</v>
      </c>
      <c r="P33" s="332" t="s">
        <v>229</v>
      </c>
      <c r="Q33" s="335"/>
      <c r="S33" s="321"/>
      <c r="T33" s="321"/>
      <c r="U33" s="321"/>
      <c r="V33" s="321"/>
      <c r="W33" s="338" t="s">
        <v>330</v>
      </c>
      <c r="X33" s="332" t="s">
        <v>386</v>
      </c>
      <c r="Y33" s="332" t="s">
        <v>332</v>
      </c>
      <c r="Z33" s="332" t="s">
        <v>333</v>
      </c>
      <c r="AA33" s="332" t="s">
        <v>334</v>
      </c>
      <c r="AB33" s="332" t="s">
        <v>335</v>
      </c>
      <c r="AC33" s="332" t="s">
        <v>336</v>
      </c>
      <c r="AD33" s="332" t="s">
        <v>337</v>
      </c>
      <c r="AE33" s="332" t="s">
        <v>338</v>
      </c>
      <c r="AF33" s="332" t="s">
        <v>339</v>
      </c>
      <c r="AG33" s="332" t="s">
        <v>340</v>
      </c>
      <c r="AH33" s="332" t="s">
        <v>341</v>
      </c>
      <c r="AI33" s="332" t="s">
        <v>235</v>
      </c>
      <c r="AJ33" s="332" t="s">
        <v>342</v>
      </c>
      <c r="AK33" s="332" t="s">
        <v>229</v>
      </c>
      <c r="AL33" s="335"/>
      <c r="AM33" s="158"/>
      <c r="AN33" s="158"/>
      <c r="AO33" s="158"/>
    </row>
    <row r="34">
      <c r="B34" s="330" t="s">
        <v>387</v>
      </c>
      <c r="C34" s="331"/>
      <c r="D34" s="332">
        <v>1.0</v>
      </c>
      <c r="E34" s="333">
        <v>508.4</v>
      </c>
      <c r="F34" s="333">
        <v>508.4</v>
      </c>
      <c r="G34" s="334">
        <f t="shared" ref="G34:G39" si="31">SUM(E34:F34)</f>
        <v>1016.8</v>
      </c>
      <c r="H34" s="332">
        <v>-535.0</v>
      </c>
      <c r="I34" s="332">
        <v>-478.8</v>
      </c>
      <c r="J34" s="331">
        <f t="shared" ref="J34:J39" si="32">I34-H34</f>
        <v>56.2</v>
      </c>
      <c r="K34" s="333">
        <f>-400.9-0.45</f>
        <v>-401.35</v>
      </c>
      <c r="L34" s="333">
        <f>-399.1+0.45</f>
        <v>-398.65</v>
      </c>
      <c r="M34" s="316">
        <f t="shared" ref="M34:M39" si="33">L34-K34</f>
        <v>2.7</v>
      </c>
      <c r="N34" s="331">
        <f t="shared" ref="N34:N39" si="34">(G34*J34*M34)/1000000</f>
        <v>0.154289232</v>
      </c>
      <c r="O34" s="332">
        <v>7820.0</v>
      </c>
      <c r="P34" s="331">
        <f t="shared" ref="P34:P39" si="35">N34*O34</f>
        <v>1206.541794</v>
      </c>
      <c r="Q34" s="335"/>
      <c r="S34" s="319" t="s">
        <v>388</v>
      </c>
      <c r="T34" s="319" t="s">
        <v>389</v>
      </c>
      <c r="W34" s="330" t="s">
        <v>388</v>
      </c>
      <c r="X34" s="331"/>
      <c r="Y34" s="332">
        <v>1.0</v>
      </c>
      <c r="Z34" s="316">
        <f>399.1-0.45</f>
        <v>398.65</v>
      </c>
      <c r="AA34" s="316">
        <f>400.9+0.45</f>
        <v>401.35</v>
      </c>
      <c r="AB34" s="316">
        <f t="shared" ref="AB34:AB39" si="36">AA34-Z34</f>
        <v>2.7</v>
      </c>
      <c r="AC34" s="332">
        <v>-535.0</v>
      </c>
      <c r="AD34" s="332">
        <v>-478.8</v>
      </c>
      <c r="AE34" s="331">
        <f t="shared" ref="AE34:AE39" si="37">AD34-AC34</f>
        <v>56.2</v>
      </c>
      <c r="AF34" s="333">
        <v>508.4</v>
      </c>
      <c r="AG34" s="333">
        <v>508.4</v>
      </c>
      <c r="AH34" s="331">
        <f t="shared" ref="AH34:AH39" si="38">AG34+AF34</f>
        <v>1016.8</v>
      </c>
      <c r="AI34" s="331">
        <f t="shared" ref="AI34:AI39" si="39">(AB34*AE34*AH34)/1000000</f>
        <v>0.154289232</v>
      </c>
      <c r="AJ34" s="332">
        <v>7820.0</v>
      </c>
      <c r="AK34" s="331">
        <f t="shared" ref="AK34:AK39" si="40">AI34*AJ34</f>
        <v>1206.541794</v>
      </c>
      <c r="AL34" s="335"/>
      <c r="AM34" s="158"/>
      <c r="AN34" s="158"/>
      <c r="AO34" s="158"/>
    </row>
    <row r="35">
      <c r="B35" s="330" t="s">
        <v>390</v>
      </c>
      <c r="C35" s="331"/>
      <c r="D35" s="332">
        <v>2.0</v>
      </c>
      <c r="E35" s="333">
        <v>508.4</v>
      </c>
      <c r="F35" s="333">
        <v>508.4</v>
      </c>
      <c r="G35" s="334">
        <f t="shared" si="31"/>
        <v>1016.8</v>
      </c>
      <c r="H35" s="332">
        <v>-535.0</v>
      </c>
      <c r="I35" s="332">
        <v>-478.8</v>
      </c>
      <c r="J35" s="331">
        <f t="shared" si="32"/>
        <v>56.2</v>
      </c>
      <c r="K35" s="333">
        <f>-240.9-0.45</f>
        <v>-241.35</v>
      </c>
      <c r="L35" s="333">
        <f>-239.1+0.45</f>
        <v>-238.65</v>
      </c>
      <c r="M35" s="316">
        <f t="shared" si="33"/>
        <v>2.7</v>
      </c>
      <c r="N35" s="331">
        <f t="shared" si="34"/>
        <v>0.154289232</v>
      </c>
      <c r="O35" s="332">
        <v>7820.0</v>
      </c>
      <c r="P35" s="331">
        <f t="shared" si="35"/>
        <v>1206.541794</v>
      </c>
      <c r="Q35" s="335"/>
      <c r="S35" s="319" t="s">
        <v>391</v>
      </c>
      <c r="T35" s="319" t="s">
        <v>389</v>
      </c>
      <c r="W35" s="330" t="s">
        <v>391</v>
      </c>
      <c r="X35" s="331"/>
      <c r="Y35" s="332">
        <v>2.0</v>
      </c>
      <c r="Z35" s="316">
        <f>239.1-0.45</f>
        <v>238.65</v>
      </c>
      <c r="AA35" s="316">
        <f>240.9+0.45</f>
        <v>241.35</v>
      </c>
      <c r="AB35" s="316">
        <f t="shared" si="36"/>
        <v>2.7</v>
      </c>
      <c r="AC35" s="332">
        <v>-535.0</v>
      </c>
      <c r="AD35" s="332">
        <v>-478.8</v>
      </c>
      <c r="AE35" s="331">
        <f t="shared" si="37"/>
        <v>56.2</v>
      </c>
      <c r="AF35" s="333">
        <v>508.4</v>
      </c>
      <c r="AG35" s="333">
        <v>508.4</v>
      </c>
      <c r="AH35" s="331">
        <f t="shared" si="38"/>
        <v>1016.8</v>
      </c>
      <c r="AI35" s="331">
        <f t="shared" si="39"/>
        <v>0.154289232</v>
      </c>
      <c r="AJ35" s="332">
        <v>7820.0</v>
      </c>
      <c r="AK35" s="331">
        <f t="shared" si="40"/>
        <v>1206.541794</v>
      </c>
      <c r="AL35" s="335"/>
      <c r="AM35" s="158"/>
      <c r="AN35" s="158"/>
      <c r="AO35" s="158"/>
    </row>
    <row r="36">
      <c r="B36" s="330" t="s">
        <v>392</v>
      </c>
      <c r="C36" s="331"/>
      <c r="D36" s="332">
        <v>3.0</v>
      </c>
      <c r="E36" s="333">
        <v>508.4</v>
      </c>
      <c r="F36" s="333">
        <v>508.4</v>
      </c>
      <c r="G36" s="334">
        <f t="shared" si="31"/>
        <v>1016.8</v>
      </c>
      <c r="H36" s="332">
        <v>-535.0</v>
      </c>
      <c r="I36" s="332">
        <v>-478.8</v>
      </c>
      <c r="J36" s="331">
        <f t="shared" si="32"/>
        <v>56.2</v>
      </c>
      <c r="K36" s="333">
        <f>-80.9-0.45</f>
        <v>-81.35</v>
      </c>
      <c r="L36" s="333">
        <f>-79.1+0.45</f>
        <v>-78.65</v>
      </c>
      <c r="M36" s="316">
        <f t="shared" si="33"/>
        <v>2.7</v>
      </c>
      <c r="N36" s="331">
        <f t="shared" si="34"/>
        <v>0.154289232</v>
      </c>
      <c r="O36" s="332">
        <v>7820.0</v>
      </c>
      <c r="P36" s="331">
        <f t="shared" si="35"/>
        <v>1206.541794</v>
      </c>
      <c r="Q36" s="335"/>
      <c r="S36" s="319" t="s">
        <v>393</v>
      </c>
      <c r="T36" s="319" t="s">
        <v>389</v>
      </c>
      <c r="W36" s="330" t="s">
        <v>393</v>
      </c>
      <c r="X36" s="331"/>
      <c r="Y36" s="332">
        <v>3.0</v>
      </c>
      <c r="Z36" s="316">
        <f>79.1-0.45</f>
        <v>78.65</v>
      </c>
      <c r="AA36" s="316">
        <f>80.9+0.45</f>
        <v>81.35</v>
      </c>
      <c r="AB36" s="316">
        <f t="shared" si="36"/>
        <v>2.7</v>
      </c>
      <c r="AC36" s="332">
        <v>-535.0</v>
      </c>
      <c r="AD36" s="332">
        <v>-478.8</v>
      </c>
      <c r="AE36" s="331">
        <f t="shared" si="37"/>
        <v>56.2</v>
      </c>
      <c r="AF36" s="333">
        <v>508.4</v>
      </c>
      <c r="AG36" s="333">
        <v>508.4</v>
      </c>
      <c r="AH36" s="331">
        <f t="shared" si="38"/>
        <v>1016.8</v>
      </c>
      <c r="AI36" s="331">
        <f t="shared" si="39"/>
        <v>0.154289232</v>
      </c>
      <c r="AJ36" s="332">
        <v>7820.0</v>
      </c>
      <c r="AK36" s="331">
        <f t="shared" si="40"/>
        <v>1206.541794</v>
      </c>
      <c r="AL36" s="335"/>
      <c r="AM36" s="158"/>
      <c r="AN36" s="158"/>
      <c r="AO36" s="158"/>
    </row>
    <row r="37">
      <c r="B37" s="330" t="s">
        <v>394</v>
      </c>
      <c r="C37" s="331"/>
      <c r="D37" s="332">
        <v>4.0</v>
      </c>
      <c r="E37" s="333">
        <v>508.4</v>
      </c>
      <c r="F37" s="333">
        <v>508.4</v>
      </c>
      <c r="G37" s="334">
        <f t="shared" si="31"/>
        <v>1016.8</v>
      </c>
      <c r="H37" s="332">
        <v>-535.0</v>
      </c>
      <c r="I37" s="332">
        <v>-478.8</v>
      </c>
      <c r="J37" s="331">
        <f t="shared" si="32"/>
        <v>56.2</v>
      </c>
      <c r="K37" s="333">
        <f>79.1-0.45</f>
        <v>78.65</v>
      </c>
      <c r="L37" s="333">
        <f>80.9+0.45</f>
        <v>81.35</v>
      </c>
      <c r="M37" s="316">
        <f t="shared" si="33"/>
        <v>2.7</v>
      </c>
      <c r="N37" s="331">
        <f t="shared" si="34"/>
        <v>0.154289232</v>
      </c>
      <c r="O37" s="332">
        <v>7820.0</v>
      </c>
      <c r="P37" s="331">
        <f t="shared" si="35"/>
        <v>1206.541794</v>
      </c>
      <c r="Q37" s="335"/>
      <c r="S37" s="319" t="s">
        <v>395</v>
      </c>
      <c r="T37" s="319" t="s">
        <v>389</v>
      </c>
      <c r="W37" s="330" t="s">
        <v>395</v>
      </c>
      <c r="X37" s="331"/>
      <c r="Y37" s="332">
        <v>4.0</v>
      </c>
      <c r="Z37" s="316">
        <f>-80.9-0.45</f>
        <v>-81.35</v>
      </c>
      <c r="AA37" s="316">
        <f>-79.1+0.45</f>
        <v>-78.65</v>
      </c>
      <c r="AB37" s="316">
        <f t="shared" si="36"/>
        <v>2.7</v>
      </c>
      <c r="AC37" s="332">
        <v>-535.0</v>
      </c>
      <c r="AD37" s="332">
        <v>-478.8</v>
      </c>
      <c r="AE37" s="331">
        <f t="shared" si="37"/>
        <v>56.2</v>
      </c>
      <c r="AF37" s="333">
        <v>508.4</v>
      </c>
      <c r="AG37" s="333">
        <v>508.4</v>
      </c>
      <c r="AH37" s="331">
        <f t="shared" si="38"/>
        <v>1016.8</v>
      </c>
      <c r="AI37" s="331">
        <f t="shared" si="39"/>
        <v>0.154289232</v>
      </c>
      <c r="AJ37" s="332">
        <v>7820.0</v>
      </c>
      <c r="AK37" s="331">
        <f t="shared" si="40"/>
        <v>1206.541794</v>
      </c>
      <c r="AL37" s="335"/>
      <c r="AM37" s="158"/>
      <c r="AN37" s="158"/>
      <c r="AO37" s="158"/>
    </row>
    <row r="38">
      <c r="B38" s="330" t="s">
        <v>396</v>
      </c>
      <c r="C38" s="331"/>
      <c r="D38" s="332">
        <v>5.0</v>
      </c>
      <c r="E38" s="333">
        <v>508.4</v>
      </c>
      <c r="F38" s="333">
        <v>508.4</v>
      </c>
      <c r="G38" s="334">
        <f t="shared" si="31"/>
        <v>1016.8</v>
      </c>
      <c r="H38" s="332">
        <v>-535.0</v>
      </c>
      <c r="I38" s="332">
        <v>-478.8</v>
      </c>
      <c r="J38" s="331">
        <f t="shared" si="32"/>
        <v>56.2</v>
      </c>
      <c r="K38" s="333">
        <f>239.1-0.45</f>
        <v>238.65</v>
      </c>
      <c r="L38" s="333">
        <f>240.9+0.45</f>
        <v>241.35</v>
      </c>
      <c r="M38" s="316">
        <f t="shared" si="33"/>
        <v>2.7</v>
      </c>
      <c r="N38" s="331">
        <f t="shared" si="34"/>
        <v>0.154289232</v>
      </c>
      <c r="O38" s="332">
        <v>7820.0</v>
      </c>
      <c r="P38" s="331">
        <f t="shared" si="35"/>
        <v>1206.541794</v>
      </c>
      <c r="Q38" s="335"/>
      <c r="S38" s="319" t="s">
        <v>397</v>
      </c>
      <c r="T38" s="319" t="s">
        <v>389</v>
      </c>
      <c r="W38" s="330" t="s">
        <v>397</v>
      </c>
      <c r="X38" s="331"/>
      <c r="Y38" s="332">
        <v>5.0</v>
      </c>
      <c r="Z38" s="316">
        <f>-240.9-0.45</f>
        <v>-241.35</v>
      </c>
      <c r="AA38" s="316">
        <f>-239.1+0.45</f>
        <v>-238.65</v>
      </c>
      <c r="AB38" s="316">
        <f t="shared" si="36"/>
        <v>2.7</v>
      </c>
      <c r="AC38" s="332">
        <v>-535.0</v>
      </c>
      <c r="AD38" s="332">
        <v>-478.8</v>
      </c>
      <c r="AE38" s="331">
        <f t="shared" si="37"/>
        <v>56.2</v>
      </c>
      <c r="AF38" s="333">
        <v>508.4</v>
      </c>
      <c r="AG38" s="333">
        <v>508.4</v>
      </c>
      <c r="AH38" s="331">
        <f t="shared" si="38"/>
        <v>1016.8</v>
      </c>
      <c r="AI38" s="331">
        <f t="shared" si="39"/>
        <v>0.154289232</v>
      </c>
      <c r="AJ38" s="332">
        <v>7820.0</v>
      </c>
      <c r="AK38" s="331">
        <f t="shared" si="40"/>
        <v>1206.541794</v>
      </c>
      <c r="AL38" s="335"/>
      <c r="AM38" s="158"/>
      <c r="AN38" s="158"/>
      <c r="AO38" s="158"/>
    </row>
    <row r="39">
      <c r="B39" s="330" t="s">
        <v>398</v>
      </c>
      <c r="C39" s="331"/>
      <c r="D39" s="332">
        <v>6.0</v>
      </c>
      <c r="E39" s="333">
        <v>508.4</v>
      </c>
      <c r="F39" s="333">
        <v>508.4</v>
      </c>
      <c r="G39" s="334">
        <f t="shared" si="31"/>
        <v>1016.8</v>
      </c>
      <c r="H39" s="332">
        <v>-535.0</v>
      </c>
      <c r="I39" s="332">
        <v>-478.8</v>
      </c>
      <c r="J39" s="331">
        <f t="shared" si="32"/>
        <v>56.2</v>
      </c>
      <c r="K39" s="333">
        <f>399.1-0.45</f>
        <v>398.65</v>
      </c>
      <c r="L39" s="333">
        <f>400.9+0.45</f>
        <v>401.35</v>
      </c>
      <c r="M39" s="316">
        <f t="shared" si="33"/>
        <v>2.7</v>
      </c>
      <c r="N39" s="331">
        <f t="shared" si="34"/>
        <v>0.154289232</v>
      </c>
      <c r="O39" s="332">
        <v>7820.0</v>
      </c>
      <c r="P39" s="331">
        <f t="shared" si="35"/>
        <v>1206.541794</v>
      </c>
      <c r="Q39" s="335"/>
      <c r="S39" s="319" t="s">
        <v>399</v>
      </c>
      <c r="T39" s="319" t="s">
        <v>389</v>
      </c>
      <c r="W39" s="330" t="s">
        <v>399</v>
      </c>
      <c r="X39" s="331"/>
      <c r="Y39" s="332">
        <v>6.0</v>
      </c>
      <c r="Z39" s="316">
        <f>-400.9-0.45</f>
        <v>-401.35</v>
      </c>
      <c r="AA39" s="316">
        <f>-399.1+0.45</f>
        <v>-398.65</v>
      </c>
      <c r="AB39" s="316">
        <f t="shared" si="36"/>
        <v>2.7</v>
      </c>
      <c r="AC39" s="332">
        <v>-535.0</v>
      </c>
      <c r="AD39" s="332">
        <v>-478.8</v>
      </c>
      <c r="AE39" s="331">
        <f t="shared" si="37"/>
        <v>56.2</v>
      </c>
      <c r="AF39" s="333">
        <v>508.4</v>
      </c>
      <c r="AG39" s="333">
        <v>508.4</v>
      </c>
      <c r="AH39" s="331">
        <f t="shared" si="38"/>
        <v>1016.8</v>
      </c>
      <c r="AI39" s="331">
        <f t="shared" si="39"/>
        <v>0.154289232</v>
      </c>
      <c r="AJ39" s="332">
        <v>7820.0</v>
      </c>
      <c r="AK39" s="331">
        <f t="shared" si="40"/>
        <v>1206.541794</v>
      </c>
      <c r="AL39" s="335"/>
      <c r="AM39" s="158"/>
      <c r="AN39" s="158"/>
      <c r="AO39" s="158"/>
    </row>
    <row r="40">
      <c r="B40" s="336"/>
      <c r="C40" s="331"/>
      <c r="D40" s="332" t="s">
        <v>294</v>
      </c>
      <c r="E40" s="331"/>
      <c r="F40" s="331"/>
      <c r="G40" s="331"/>
      <c r="H40" s="331"/>
      <c r="I40" s="331"/>
      <c r="J40" s="331"/>
      <c r="K40" s="331"/>
      <c r="L40" s="331"/>
      <c r="M40" s="331"/>
      <c r="N40" s="331">
        <f>SUM(N34:N39)</f>
        <v>0.925735392</v>
      </c>
      <c r="O40" s="331"/>
      <c r="P40" s="331">
        <f>SUM(P34:P39)</f>
        <v>7239.250765</v>
      </c>
      <c r="Q40" s="335"/>
      <c r="S40" s="321"/>
      <c r="T40" s="321"/>
      <c r="U40" s="321"/>
      <c r="V40" s="321"/>
      <c r="W40" s="336"/>
      <c r="X40" s="331"/>
      <c r="Y40" s="332" t="s">
        <v>294</v>
      </c>
      <c r="Z40" s="331"/>
      <c r="AA40" s="331"/>
      <c r="AB40" s="331"/>
      <c r="AC40" s="331"/>
      <c r="AD40" s="331"/>
      <c r="AE40" s="331"/>
      <c r="AF40" s="331"/>
      <c r="AG40" s="331"/>
      <c r="AH40" s="331"/>
      <c r="AI40" s="331">
        <f>SUM(AI34:AI39)</f>
        <v>0.925735392</v>
      </c>
      <c r="AJ40" s="331"/>
      <c r="AK40" s="331">
        <f>SUM(AK34:AK39)</f>
        <v>7239.250765</v>
      </c>
      <c r="AL40" s="335"/>
      <c r="AM40" s="158">
        <f>AI40+N40</f>
        <v>1.851470784</v>
      </c>
      <c r="AN40" s="158"/>
      <c r="AO40" s="158"/>
    </row>
    <row r="41">
      <c r="B41" s="339"/>
      <c r="C41" s="340"/>
      <c r="D41" s="340"/>
      <c r="E41" s="340"/>
      <c r="F41" s="340"/>
      <c r="G41" s="340"/>
      <c r="H41" s="340"/>
      <c r="I41" s="340"/>
      <c r="J41" s="340"/>
      <c r="K41" s="340"/>
      <c r="L41" s="340"/>
      <c r="M41" s="340"/>
      <c r="N41" s="340"/>
      <c r="O41" s="340"/>
      <c r="P41" s="340">
        <f>P40/1000</f>
        <v>7.239250765</v>
      </c>
      <c r="Q41" s="341" t="s">
        <v>371</v>
      </c>
      <c r="S41" s="321"/>
      <c r="T41" s="321"/>
      <c r="U41" s="321"/>
      <c r="V41" s="321"/>
      <c r="W41" s="339"/>
      <c r="X41" s="340"/>
      <c r="Y41" s="340"/>
      <c r="Z41" s="340"/>
      <c r="AA41" s="340"/>
      <c r="AB41" s="340"/>
      <c r="AC41" s="340"/>
      <c r="AD41" s="340"/>
      <c r="AE41" s="340"/>
      <c r="AF41" s="340"/>
      <c r="AG41" s="340"/>
      <c r="AH41" s="340"/>
      <c r="AI41" s="340"/>
      <c r="AJ41" s="340"/>
      <c r="AK41" s="340">
        <f>AK40/1000</f>
        <v>7.239250765</v>
      </c>
      <c r="AL41" s="341" t="s">
        <v>371</v>
      </c>
      <c r="AM41" s="307"/>
      <c r="AN41" s="307"/>
      <c r="AO41" s="307"/>
    </row>
    <row r="42">
      <c r="S42" s="321"/>
      <c r="T42" s="321"/>
      <c r="U42" s="321"/>
      <c r="V42" s="321"/>
      <c r="AM42" s="158"/>
      <c r="AN42" s="158"/>
      <c r="AO42" s="158"/>
    </row>
    <row r="43">
      <c r="B43" s="342" t="s">
        <v>330</v>
      </c>
      <c r="C43" s="343" t="s">
        <v>400</v>
      </c>
      <c r="D43" s="343" t="s">
        <v>332</v>
      </c>
      <c r="E43" s="343" t="s">
        <v>333</v>
      </c>
      <c r="F43" s="343" t="s">
        <v>334</v>
      </c>
      <c r="G43" s="343" t="s">
        <v>335</v>
      </c>
      <c r="H43" s="343" t="s">
        <v>336</v>
      </c>
      <c r="I43" s="343" t="s">
        <v>337</v>
      </c>
      <c r="J43" s="343" t="s">
        <v>338</v>
      </c>
      <c r="K43" s="343" t="s">
        <v>339</v>
      </c>
      <c r="L43" s="343" t="s">
        <v>340</v>
      </c>
      <c r="M43" s="343" t="s">
        <v>341</v>
      </c>
      <c r="N43" s="343" t="s">
        <v>235</v>
      </c>
      <c r="O43" s="343" t="s">
        <v>342</v>
      </c>
      <c r="P43" s="343" t="s">
        <v>229</v>
      </c>
      <c r="Q43" s="344"/>
      <c r="S43" s="319" t="s">
        <v>401</v>
      </c>
      <c r="T43" s="319" t="s">
        <v>402</v>
      </c>
      <c r="U43" s="321"/>
      <c r="V43" s="321"/>
      <c r="W43" s="342" t="s">
        <v>330</v>
      </c>
      <c r="X43" s="343" t="s">
        <v>400</v>
      </c>
      <c r="Y43" s="343" t="s">
        <v>332</v>
      </c>
      <c r="Z43" s="343" t="s">
        <v>333</v>
      </c>
      <c r="AA43" s="343" t="s">
        <v>334</v>
      </c>
      <c r="AB43" s="343" t="s">
        <v>335</v>
      </c>
      <c r="AC43" s="343" t="s">
        <v>336</v>
      </c>
      <c r="AD43" s="343" t="s">
        <v>337</v>
      </c>
      <c r="AE43" s="343" t="s">
        <v>338</v>
      </c>
      <c r="AF43" s="343" t="s">
        <v>339</v>
      </c>
      <c r="AG43" s="343" t="s">
        <v>340</v>
      </c>
      <c r="AH43" s="343" t="s">
        <v>341</v>
      </c>
      <c r="AI43" s="343" t="s">
        <v>235</v>
      </c>
      <c r="AJ43" s="343" t="s">
        <v>342</v>
      </c>
      <c r="AK43" s="343" t="s">
        <v>229</v>
      </c>
      <c r="AL43" s="344"/>
      <c r="AM43" s="158"/>
      <c r="AN43" s="158"/>
      <c r="AO43" s="158"/>
    </row>
    <row r="44">
      <c r="B44" s="345" t="s">
        <v>403</v>
      </c>
      <c r="C44" s="346"/>
      <c r="D44" s="347">
        <v>1.0</v>
      </c>
      <c r="E44" s="348">
        <v>511.2</v>
      </c>
      <c r="F44" s="348">
        <v>567.4</v>
      </c>
      <c r="G44" s="349">
        <f t="shared" ref="G44:G49" si="41">F44-E44</f>
        <v>56.2</v>
      </c>
      <c r="H44" s="347">
        <v>535.0</v>
      </c>
      <c r="I44" s="347">
        <v>535.0</v>
      </c>
      <c r="J44" s="346">
        <f t="shared" ref="J44:J49" si="42">I44+H44</f>
        <v>1070</v>
      </c>
      <c r="K44" s="316">
        <f>399.1-0.45</f>
        <v>398.65</v>
      </c>
      <c r="L44" s="316">
        <f>400.9+0.45</f>
        <v>401.35</v>
      </c>
      <c r="M44" s="316">
        <f t="shared" ref="M44:M49" si="43">L44-K44</f>
        <v>2.7</v>
      </c>
      <c r="N44" s="346">
        <f t="shared" ref="N44:N49" si="44">(G44*J44*M44)/1000000</f>
        <v>0.1623618</v>
      </c>
      <c r="O44" s="347">
        <v>7820.0</v>
      </c>
      <c r="P44" s="346">
        <f t="shared" ref="P44:P49" si="45">N44*O44</f>
        <v>1269.669276</v>
      </c>
      <c r="Q44" s="350"/>
      <c r="S44" s="319" t="s">
        <v>404</v>
      </c>
      <c r="T44" s="319" t="s">
        <v>405</v>
      </c>
      <c r="W44" s="345" t="s">
        <v>404</v>
      </c>
      <c r="X44" s="346"/>
      <c r="Y44" s="347">
        <v>1.0</v>
      </c>
      <c r="Z44" s="348">
        <v>511.2</v>
      </c>
      <c r="AA44" s="348">
        <v>567.4</v>
      </c>
      <c r="AB44" s="349">
        <f t="shared" ref="AB44:AB49" si="46">AA44-Z44</f>
        <v>56.2</v>
      </c>
      <c r="AC44" s="316">
        <f>399.1-0.45</f>
        <v>398.65</v>
      </c>
      <c r="AD44" s="316">
        <f>400.9+0.45</f>
        <v>401.35</v>
      </c>
      <c r="AE44" s="316">
        <f t="shared" ref="AE44:AE49" si="47">AD44-AC44</f>
        <v>2.7</v>
      </c>
      <c r="AF44" s="347">
        <v>508.4</v>
      </c>
      <c r="AG44" s="347">
        <v>508.4</v>
      </c>
      <c r="AH44" s="346">
        <f t="shared" ref="AH44:AH49" si="48">SUM(AF44:AG44)</f>
        <v>1016.8</v>
      </c>
      <c r="AI44" s="346">
        <f t="shared" ref="AI44:AI49" si="49">(AB44*AE44*AH44)/1000000</f>
        <v>0.154289232</v>
      </c>
      <c r="AJ44" s="347">
        <v>7820.0</v>
      </c>
      <c r="AK44" s="346">
        <f t="shared" ref="AK44:AK49" si="50">AI44*AJ44</f>
        <v>1206.541794</v>
      </c>
      <c r="AL44" s="350"/>
      <c r="AM44" s="158"/>
      <c r="AN44" s="158"/>
      <c r="AO44" s="158"/>
    </row>
    <row r="45">
      <c r="B45" s="345" t="s">
        <v>406</v>
      </c>
      <c r="C45" s="346"/>
      <c r="D45" s="347">
        <v>2.0</v>
      </c>
      <c r="E45" s="348">
        <v>511.2</v>
      </c>
      <c r="F45" s="348">
        <v>567.4</v>
      </c>
      <c r="G45" s="349">
        <f t="shared" si="41"/>
        <v>56.2</v>
      </c>
      <c r="H45" s="347">
        <v>535.0</v>
      </c>
      <c r="I45" s="347">
        <v>535.0</v>
      </c>
      <c r="J45" s="346">
        <f t="shared" si="42"/>
        <v>1070</v>
      </c>
      <c r="K45" s="316">
        <f>239.1-0.45</f>
        <v>238.65</v>
      </c>
      <c r="L45" s="316">
        <f>240.9+0.45</f>
        <v>241.35</v>
      </c>
      <c r="M45" s="316">
        <f t="shared" si="43"/>
        <v>2.7</v>
      </c>
      <c r="N45" s="346">
        <f t="shared" si="44"/>
        <v>0.1623618</v>
      </c>
      <c r="O45" s="347">
        <v>7820.0</v>
      </c>
      <c r="P45" s="346">
        <f t="shared" si="45"/>
        <v>1269.669276</v>
      </c>
      <c r="Q45" s="350"/>
      <c r="S45" s="319" t="s">
        <v>407</v>
      </c>
      <c r="T45" s="351" t="s">
        <v>405</v>
      </c>
      <c r="U45" s="321"/>
      <c r="V45" s="321"/>
      <c r="W45" s="345" t="s">
        <v>407</v>
      </c>
      <c r="X45" s="346"/>
      <c r="Y45" s="347">
        <v>2.0</v>
      </c>
      <c r="Z45" s="348">
        <v>511.2</v>
      </c>
      <c r="AA45" s="348">
        <v>567.4</v>
      </c>
      <c r="AB45" s="349">
        <f t="shared" si="46"/>
        <v>56.2</v>
      </c>
      <c r="AC45" s="316">
        <f>239.1-0.45</f>
        <v>238.65</v>
      </c>
      <c r="AD45" s="316">
        <f>240.9+0.45</f>
        <v>241.35</v>
      </c>
      <c r="AE45" s="316">
        <f t="shared" si="47"/>
        <v>2.7</v>
      </c>
      <c r="AF45" s="347">
        <v>508.4</v>
      </c>
      <c r="AG45" s="347">
        <v>508.4</v>
      </c>
      <c r="AH45" s="346">
        <f t="shared" si="48"/>
        <v>1016.8</v>
      </c>
      <c r="AI45" s="346">
        <f t="shared" si="49"/>
        <v>0.154289232</v>
      </c>
      <c r="AJ45" s="347">
        <v>7820.0</v>
      </c>
      <c r="AK45" s="346">
        <f t="shared" si="50"/>
        <v>1206.541794</v>
      </c>
      <c r="AL45" s="350"/>
      <c r="AM45" s="158"/>
      <c r="AN45" s="158"/>
      <c r="AO45" s="158"/>
    </row>
    <row r="46">
      <c r="B46" s="345" t="s">
        <v>408</v>
      </c>
      <c r="C46" s="346"/>
      <c r="D46" s="347">
        <v>3.0</v>
      </c>
      <c r="E46" s="348">
        <v>511.2</v>
      </c>
      <c r="F46" s="348">
        <v>567.4</v>
      </c>
      <c r="G46" s="349">
        <f t="shared" si="41"/>
        <v>56.2</v>
      </c>
      <c r="H46" s="347">
        <v>535.0</v>
      </c>
      <c r="I46" s="347">
        <v>535.0</v>
      </c>
      <c r="J46" s="346">
        <f t="shared" si="42"/>
        <v>1070</v>
      </c>
      <c r="K46" s="316">
        <f>79.1-0.45</f>
        <v>78.65</v>
      </c>
      <c r="L46" s="316">
        <f>80.9+0.45</f>
        <v>81.35</v>
      </c>
      <c r="M46" s="316">
        <f t="shared" si="43"/>
        <v>2.7</v>
      </c>
      <c r="N46" s="346">
        <f t="shared" si="44"/>
        <v>0.1623618</v>
      </c>
      <c r="O46" s="347">
        <v>7820.0</v>
      </c>
      <c r="P46" s="346">
        <f t="shared" si="45"/>
        <v>1269.669276</v>
      </c>
      <c r="Q46" s="350"/>
      <c r="S46" s="319" t="s">
        <v>409</v>
      </c>
      <c r="T46" s="351" t="s">
        <v>405</v>
      </c>
      <c r="U46" s="321"/>
      <c r="V46" s="321"/>
      <c r="W46" s="345" t="s">
        <v>409</v>
      </c>
      <c r="X46" s="346"/>
      <c r="Y46" s="347">
        <v>3.0</v>
      </c>
      <c r="Z46" s="348">
        <v>511.2</v>
      </c>
      <c r="AA46" s="348">
        <v>567.4</v>
      </c>
      <c r="AB46" s="349">
        <f t="shared" si="46"/>
        <v>56.2</v>
      </c>
      <c r="AC46" s="316">
        <f>79.1-0.45</f>
        <v>78.65</v>
      </c>
      <c r="AD46" s="316">
        <f>80.9+0.45</f>
        <v>81.35</v>
      </c>
      <c r="AE46" s="316">
        <f t="shared" si="47"/>
        <v>2.7</v>
      </c>
      <c r="AF46" s="347">
        <v>508.4</v>
      </c>
      <c r="AG46" s="347">
        <v>508.4</v>
      </c>
      <c r="AH46" s="346">
        <f t="shared" si="48"/>
        <v>1016.8</v>
      </c>
      <c r="AI46" s="346">
        <f t="shared" si="49"/>
        <v>0.154289232</v>
      </c>
      <c r="AJ46" s="347">
        <v>7820.0</v>
      </c>
      <c r="AK46" s="346">
        <f t="shared" si="50"/>
        <v>1206.541794</v>
      </c>
      <c r="AL46" s="350"/>
      <c r="AM46" s="158"/>
      <c r="AN46" s="158"/>
      <c r="AO46" s="158"/>
    </row>
    <row r="47">
      <c r="B47" s="345" t="s">
        <v>410</v>
      </c>
      <c r="C47" s="346"/>
      <c r="D47" s="347">
        <v>4.0</v>
      </c>
      <c r="E47" s="348">
        <v>511.2</v>
      </c>
      <c r="F47" s="348">
        <v>567.4</v>
      </c>
      <c r="G47" s="349">
        <f t="shared" si="41"/>
        <v>56.2</v>
      </c>
      <c r="H47" s="347">
        <v>535.0</v>
      </c>
      <c r="I47" s="347">
        <v>535.0</v>
      </c>
      <c r="J47" s="346">
        <f t="shared" si="42"/>
        <v>1070</v>
      </c>
      <c r="K47" s="316">
        <f>-80.9-0.45</f>
        <v>-81.35</v>
      </c>
      <c r="L47" s="316">
        <f>-79.1+0.45</f>
        <v>-78.65</v>
      </c>
      <c r="M47" s="316">
        <f t="shared" si="43"/>
        <v>2.7</v>
      </c>
      <c r="N47" s="346">
        <f t="shared" si="44"/>
        <v>0.1623618</v>
      </c>
      <c r="O47" s="347">
        <v>7820.0</v>
      </c>
      <c r="P47" s="346">
        <f t="shared" si="45"/>
        <v>1269.669276</v>
      </c>
      <c r="Q47" s="350"/>
      <c r="S47" s="319" t="s">
        <v>411</v>
      </c>
      <c r="T47" s="351" t="s">
        <v>405</v>
      </c>
      <c r="U47" s="321"/>
      <c r="V47" s="321"/>
      <c r="W47" s="345" t="s">
        <v>411</v>
      </c>
      <c r="X47" s="346"/>
      <c r="Y47" s="347">
        <v>4.0</v>
      </c>
      <c r="Z47" s="348">
        <v>511.2</v>
      </c>
      <c r="AA47" s="348">
        <v>567.4</v>
      </c>
      <c r="AB47" s="349">
        <f t="shared" si="46"/>
        <v>56.2</v>
      </c>
      <c r="AC47" s="316">
        <f>-80.9-0.45</f>
        <v>-81.35</v>
      </c>
      <c r="AD47" s="316">
        <f>-79.1+0.45</f>
        <v>-78.65</v>
      </c>
      <c r="AE47" s="316">
        <f t="shared" si="47"/>
        <v>2.7</v>
      </c>
      <c r="AF47" s="347">
        <v>508.4</v>
      </c>
      <c r="AG47" s="347">
        <v>508.4</v>
      </c>
      <c r="AH47" s="346">
        <f t="shared" si="48"/>
        <v>1016.8</v>
      </c>
      <c r="AI47" s="346">
        <f t="shared" si="49"/>
        <v>0.154289232</v>
      </c>
      <c r="AJ47" s="347">
        <v>7820.0</v>
      </c>
      <c r="AK47" s="346">
        <f t="shared" si="50"/>
        <v>1206.541794</v>
      </c>
      <c r="AL47" s="350"/>
      <c r="AM47" s="158"/>
      <c r="AN47" s="158"/>
      <c r="AO47" s="158"/>
    </row>
    <row r="48">
      <c r="B48" s="345" t="s">
        <v>412</v>
      </c>
      <c r="C48" s="346"/>
      <c r="D48" s="347">
        <v>5.0</v>
      </c>
      <c r="E48" s="348">
        <v>511.2</v>
      </c>
      <c r="F48" s="348">
        <v>567.4</v>
      </c>
      <c r="G48" s="349">
        <f t="shared" si="41"/>
        <v>56.2</v>
      </c>
      <c r="H48" s="347">
        <v>535.0</v>
      </c>
      <c r="I48" s="347">
        <v>535.0</v>
      </c>
      <c r="J48" s="346">
        <f t="shared" si="42"/>
        <v>1070</v>
      </c>
      <c r="K48" s="316">
        <f>-240.9-0.45</f>
        <v>-241.35</v>
      </c>
      <c r="L48" s="316">
        <f>-239.1+0.45</f>
        <v>-238.65</v>
      </c>
      <c r="M48" s="316">
        <f t="shared" si="43"/>
        <v>2.7</v>
      </c>
      <c r="N48" s="346">
        <f t="shared" si="44"/>
        <v>0.1623618</v>
      </c>
      <c r="O48" s="347">
        <v>7820.0</v>
      </c>
      <c r="P48" s="346">
        <f t="shared" si="45"/>
        <v>1269.669276</v>
      </c>
      <c r="Q48" s="350"/>
      <c r="S48" s="319" t="s">
        <v>413</v>
      </c>
      <c r="T48" s="351" t="s">
        <v>405</v>
      </c>
      <c r="U48" s="321"/>
      <c r="V48" s="321"/>
      <c r="W48" s="345" t="s">
        <v>413</v>
      </c>
      <c r="X48" s="346"/>
      <c r="Y48" s="347">
        <v>5.0</v>
      </c>
      <c r="Z48" s="348">
        <v>511.2</v>
      </c>
      <c r="AA48" s="348">
        <v>567.4</v>
      </c>
      <c r="AB48" s="349">
        <f t="shared" si="46"/>
        <v>56.2</v>
      </c>
      <c r="AC48" s="316">
        <f>-240.9-0.45</f>
        <v>-241.35</v>
      </c>
      <c r="AD48" s="316">
        <f>-239.1+0.45</f>
        <v>-238.65</v>
      </c>
      <c r="AE48" s="316">
        <f t="shared" si="47"/>
        <v>2.7</v>
      </c>
      <c r="AF48" s="347">
        <v>508.4</v>
      </c>
      <c r="AG48" s="347">
        <v>508.4</v>
      </c>
      <c r="AH48" s="346">
        <f t="shared" si="48"/>
        <v>1016.8</v>
      </c>
      <c r="AI48" s="346">
        <f t="shared" si="49"/>
        <v>0.154289232</v>
      </c>
      <c r="AJ48" s="347">
        <v>7820.0</v>
      </c>
      <c r="AK48" s="346">
        <f t="shared" si="50"/>
        <v>1206.541794</v>
      </c>
      <c r="AL48" s="350"/>
      <c r="AM48" s="158"/>
      <c r="AN48" s="158"/>
      <c r="AO48" s="158"/>
    </row>
    <row r="49">
      <c r="B49" s="345" t="s">
        <v>414</v>
      </c>
      <c r="C49" s="346"/>
      <c r="D49" s="347">
        <v>6.0</v>
      </c>
      <c r="E49" s="348">
        <v>511.2</v>
      </c>
      <c r="F49" s="348">
        <v>567.4</v>
      </c>
      <c r="G49" s="349">
        <f t="shared" si="41"/>
        <v>56.2</v>
      </c>
      <c r="H49" s="347">
        <v>535.0</v>
      </c>
      <c r="I49" s="347">
        <v>535.0</v>
      </c>
      <c r="J49" s="346">
        <f t="shared" si="42"/>
        <v>1070</v>
      </c>
      <c r="K49" s="316">
        <f>-400.9-0.45</f>
        <v>-401.35</v>
      </c>
      <c r="L49" s="316">
        <f>-399.1+0.45</f>
        <v>-398.65</v>
      </c>
      <c r="M49" s="316">
        <f t="shared" si="43"/>
        <v>2.7</v>
      </c>
      <c r="N49" s="346">
        <f t="shared" si="44"/>
        <v>0.1623618</v>
      </c>
      <c r="O49" s="347">
        <v>7820.0</v>
      </c>
      <c r="P49" s="346">
        <f t="shared" si="45"/>
        <v>1269.669276</v>
      </c>
      <c r="Q49" s="350"/>
      <c r="S49" s="319" t="s">
        <v>415</v>
      </c>
      <c r="T49" s="351" t="s">
        <v>405</v>
      </c>
      <c r="U49" s="321"/>
      <c r="V49" s="321"/>
      <c r="W49" s="345" t="s">
        <v>415</v>
      </c>
      <c r="X49" s="346"/>
      <c r="Y49" s="347">
        <v>6.0</v>
      </c>
      <c r="Z49" s="348">
        <v>511.2</v>
      </c>
      <c r="AA49" s="348">
        <v>567.4</v>
      </c>
      <c r="AB49" s="349">
        <f t="shared" si="46"/>
        <v>56.2</v>
      </c>
      <c r="AC49" s="316">
        <f>-400.9-0.45</f>
        <v>-401.35</v>
      </c>
      <c r="AD49" s="316">
        <f>-399.1+0.45</f>
        <v>-398.65</v>
      </c>
      <c r="AE49" s="316">
        <f t="shared" si="47"/>
        <v>2.7</v>
      </c>
      <c r="AF49" s="347">
        <v>508.4</v>
      </c>
      <c r="AG49" s="347">
        <v>508.4</v>
      </c>
      <c r="AH49" s="346">
        <f t="shared" si="48"/>
        <v>1016.8</v>
      </c>
      <c r="AI49" s="346">
        <f t="shared" si="49"/>
        <v>0.154289232</v>
      </c>
      <c r="AJ49" s="347">
        <v>7820.0</v>
      </c>
      <c r="AK49" s="346">
        <f t="shared" si="50"/>
        <v>1206.541794</v>
      </c>
      <c r="AL49" s="350"/>
      <c r="AM49" s="158"/>
      <c r="AN49" s="158"/>
      <c r="AO49" s="158"/>
    </row>
    <row r="50">
      <c r="B50" s="352"/>
      <c r="C50" s="346"/>
      <c r="D50" s="347" t="s">
        <v>294</v>
      </c>
      <c r="E50" s="346"/>
      <c r="F50" s="346"/>
      <c r="G50" s="346"/>
      <c r="H50" s="346"/>
      <c r="I50" s="346"/>
      <c r="J50" s="346"/>
      <c r="K50" s="346"/>
      <c r="L50" s="346"/>
      <c r="M50" s="346"/>
      <c r="N50" s="346">
        <f>SUM(N44:N49)</f>
        <v>0.9741708</v>
      </c>
      <c r="O50" s="346"/>
      <c r="P50" s="346">
        <f>SUM(P44:P49)</f>
        <v>7618.015656</v>
      </c>
      <c r="Q50" s="350"/>
      <c r="S50" s="321"/>
      <c r="T50" s="321"/>
      <c r="U50" s="321"/>
      <c r="V50" s="321"/>
      <c r="W50" s="352"/>
      <c r="X50" s="346"/>
      <c r="Y50" s="347" t="s">
        <v>294</v>
      </c>
      <c r="Z50" s="346"/>
      <c r="AA50" s="346"/>
      <c r="AB50" s="346"/>
      <c r="AC50" s="346"/>
      <c r="AD50" s="346"/>
      <c r="AE50" s="346"/>
      <c r="AF50" s="346"/>
      <c r="AG50" s="346"/>
      <c r="AH50" s="346"/>
      <c r="AI50" s="346">
        <f>SUM(AI44:AI49)</f>
        <v>0.925735392</v>
      </c>
      <c r="AJ50" s="346"/>
      <c r="AK50" s="346">
        <f>SUM(AK44:AK49)</f>
        <v>7239.250765</v>
      </c>
      <c r="AL50" s="350"/>
      <c r="AM50" s="158">
        <f>AI50+N50</f>
        <v>1.899906192</v>
      </c>
      <c r="AN50" s="158"/>
      <c r="AO50" s="158"/>
    </row>
    <row r="51">
      <c r="B51" s="352"/>
      <c r="C51" s="346"/>
      <c r="D51" s="346"/>
      <c r="E51" s="346"/>
      <c r="F51" s="346"/>
      <c r="G51" s="346"/>
      <c r="H51" s="346"/>
      <c r="I51" s="346"/>
      <c r="J51" s="346"/>
      <c r="K51" s="346"/>
      <c r="L51" s="346"/>
      <c r="M51" s="346"/>
      <c r="N51" s="346"/>
      <c r="O51" s="346"/>
      <c r="P51" s="346">
        <f>P50/1000</f>
        <v>7.618015656</v>
      </c>
      <c r="Q51" s="353" t="s">
        <v>371</v>
      </c>
      <c r="S51" s="321"/>
      <c r="T51" s="321"/>
      <c r="U51" s="321"/>
      <c r="V51" s="321"/>
      <c r="W51" s="352"/>
      <c r="X51" s="346"/>
      <c r="Y51" s="346"/>
      <c r="Z51" s="346"/>
      <c r="AA51" s="346"/>
      <c r="AB51" s="346"/>
      <c r="AC51" s="346"/>
      <c r="AD51" s="346"/>
      <c r="AE51" s="346"/>
      <c r="AF51" s="346"/>
      <c r="AG51" s="346"/>
      <c r="AH51" s="346"/>
      <c r="AI51" s="346"/>
      <c r="AJ51" s="346"/>
      <c r="AK51" s="346">
        <f>AK50/1000</f>
        <v>7.239250765</v>
      </c>
      <c r="AL51" s="353" t="s">
        <v>371</v>
      </c>
      <c r="AM51" s="307"/>
      <c r="AN51" s="307"/>
      <c r="AO51" s="307"/>
    </row>
    <row r="52">
      <c r="B52" s="352"/>
      <c r="C52" s="346"/>
      <c r="D52" s="346"/>
      <c r="E52" s="346"/>
      <c r="F52" s="346"/>
      <c r="G52" s="346"/>
      <c r="H52" s="346"/>
      <c r="I52" s="346"/>
      <c r="J52" s="346"/>
      <c r="K52" s="346"/>
      <c r="L52" s="346"/>
      <c r="M52" s="346"/>
      <c r="N52" s="346"/>
      <c r="O52" s="346"/>
      <c r="P52" s="346"/>
      <c r="Q52" s="353"/>
      <c r="S52" s="321"/>
      <c r="T52" s="321"/>
      <c r="U52" s="321"/>
      <c r="V52" s="321"/>
      <c r="W52" s="352"/>
      <c r="X52" s="346"/>
      <c r="Y52" s="346"/>
      <c r="Z52" s="346"/>
      <c r="AA52" s="346"/>
      <c r="AB52" s="346"/>
      <c r="AC52" s="346"/>
      <c r="AD52" s="346"/>
      <c r="AE52" s="346"/>
      <c r="AF52" s="346"/>
      <c r="AG52" s="346"/>
      <c r="AH52" s="346"/>
      <c r="AI52" s="346"/>
      <c r="AJ52" s="346"/>
      <c r="AK52" s="346"/>
      <c r="AL52" s="353"/>
      <c r="AM52" s="307"/>
      <c r="AN52" s="307"/>
      <c r="AO52" s="307"/>
    </row>
    <row r="53">
      <c r="B53" s="354" t="s">
        <v>330</v>
      </c>
      <c r="C53" s="347" t="s">
        <v>416</v>
      </c>
      <c r="D53" s="347" t="s">
        <v>332</v>
      </c>
      <c r="E53" s="347" t="s">
        <v>333</v>
      </c>
      <c r="F53" s="347" t="s">
        <v>334</v>
      </c>
      <c r="G53" s="347" t="s">
        <v>335</v>
      </c>
      <c r="H53" s="347" t="s">
        <v>336</v>
      </c>
      <c r="I53" s="347" t="s">
        <v>337</v>
      </c>
      <c r="J53" s="347" t="s">
        <v>338</v>
      </c>
      <c r="K53" s="347" t="s">
        <v>339</v>
      </c>
      <c r="L53" s="347" t="s">
        <v>340</v>
      </c>
      <c r="M53" s="347" t="s">
        <v>341</v>
      </c>
      <c r="N53" s="347" t="s">
        <v>235</v>
      </c>
      <c r="O53" s="347" t="s">
        <v>342</v>
      </c>
      <c r="P53" s="347" t="s">
        <v>229</v>
      </c>
      <c r="Q53" s="350"/>
      <c r="S53" s="321"/>
      <c r="T53" s="321"/>
      <c r="U53" s="321"/>
      <c r="V53" s="321"/>
      <c r="W53" s="354" t="s">
        <v>330</v>
      </c>
      <c r="X53" s="347" t="s">
        <v>416</v>
      </c>
      <c r="Y53" s="347" t="s">
        <v>332</v>
      </c>
      <c r="Z53" s="347" t="s">
        <v>333</v>
      </c>
      <c r="AA53" s="347" t="s">
        <v>334</v>
      </c>
      <c r="AB53" s="347" t="s">
        <v>335</v>
      </c>
      <c r="AC53" s="347" t="s">
        <v>336</v>
      </c>
      <c r="AD53" s="347" t="s">
        <v>337</v>
      </c>
      <c r="AE53" s="347" t="s">
        <v>338</v>
      </c>
      <c r="AF53" s="347" t="s">
        <v>339</v>
      </c>
      <c r="AG53" s="347" t="s">
        <v>340</v>
      </c>
      <c r="AH53" s="347" t="s">
        <v>341</v>
      </c>
      <c r="AI53" s="347" t="s">
        <v>235</v>
      </c>
      <c r="AJ53" s="347" t="s">
        <v>342</v>
      </c>
      <c r="AK53" s="347" t="s">
        <v>229</v>
      </c>
      <c r="AL53" s="350"/>
      <c r="AM53" s="158"/>
      <c r="AN53" s="158"/>
      <c r="AO53" s="158"/>
    </row>
    <row r="54">
      <c r="B54" s="345" t="s">
        <v>417</v>
      </c>
      <c r="C54" s="346"/>
      <c r="D54" s="347">
        <v>1.0</v>
      </c>
      <c r="E54" s="348">
        <v>-567.4</v>
      </c>
      <c r="F54" s="348">
        <v>-511.2</v>
      </c>
      <c r="G54" s="349">
        <f t="shared" ref="G54:G59" si="51">F54-E54</f>
        <v>56.2</v>
      </c>
      <c r="H54" s="347">
        <v>-535.0</v>
      </c>
      <c r="I54" s="347">
        <v>535.0</v>
      </c>
      <c r="J54" s="346">
        <f t="shared" ref="J54:J59" si="52">I54-H54</f>
        <v>1070</v>
      </c>
      <c r="K54" s="316">
        <f>399.1-0.45</f>
        <v>398.65</v>
      </c>
      <c r="L54" s="316">
        <f>400.9+0.45</f>
        <v>401.35</v>
      </c>
      <c r="M54" s="316">
        <f t="shared" ref="M54:M59" si="53">L54-K54</f>
        <v>2.7</v>
      </c>
      <c r="N54" s="346">
        <f t="shared" ref="N54:N59" si="54">(G54*J54*M54)/1000000</f>
        <v>0.1623618</v>
      </c>
      <c r="O54" s="347">
        <v>7820.0</v>
      </c>
      <c r="P54" s="346">
        <f t="shared" ref="P54:P59" si="55">N54*O54</f>
        <v>1269.669276</v>
      </c>
      <c r="Q54" s="350"/>
      <c r="S54" s="319" t="s">
        <v>418</v>
      </c>
      <c r="T54" s="319" t="s">
        <v>419</v>
      </c>
      <c r="W54" s="345" t="s">
        <v>418</v>
      </c>
      <c r="X54" s="346"/>
      <c r="Y54" s="347">
        <v>1.0</v>
      </c>
      <c r="Z54" s="348">
        <v>-567.4</v>
      </c>
      <c r="AA54" s="348">
        <v>-511.2</v>
      </c>
      <c r="AB54" s="349">
        <f t="shared" ref="AB54:AB59" si="56">AA54-Z54</f>
        <v>56.2</v>
      </c>
      <c r="AC54" s="316">
        <f>399.1-0.45</f>
        <v>398.65</v>
      </c>
      <c r="AD54" s="316">
        <f>400.9+0.45</f>
        <v>401.35</v>
      </c>
      <c r="AE54" s="316">
        <f t="shared" ref="AE54:AE59" si="57">AD54-AC54</f>
        <v>2.7</v>
      </c>
      <c r="AF54" s="347">
        <v>508.4</v>
      </c>
      <c r="AG54" s="347">
        <v>508.4</v>
      </c>
      <c r="AH54" s="346">
        <f t="shared" ref="AH54:AH59" si="58">AG54+AF54</f>
        <v>1016.8</v>
      </c>
      <c r="AI54" s="346">
        <f t="shared" ref="AI54:AI59" si="59">(AB54*AE54*AH54)/1000000</f>
        <v>0.154289232</v>
      </c>
      <c r="AJ54" s="347">
        <v>7820.0</v>
      </c>
      <c r="AK54" s="346">
        <f t="shared" ref="AK54:AK59" si="60">AI54*AJ54</f>
        <v>1206.541794</v>
      </c>
      <c r="AL54" s="350"/>
      <c r="AM54" s="158"/>
      <c r="AN54" s="158"/>
      <c r="AO54" s="158"/>
    </row>
    <row r="55">
      <c r="B55" s="345" t="s">
        <v>420</v>
      </c>
      <c r="C55" s="346"/>
      <c r="D55" s="347">
        <v>2.0</v>
      </c>
      <c r="E55" s="348">
        <v>-567.4</v>
      </c>
      <c r="F55" s="348">
        <v>-511.2</v>
      </c>
      <c r="G55" s="349">
        <f t="shared" si="51"/>
        <v>56.2</v>
      </c>
      <c r="H55" s="347">
        <v>-535.0</v>
      </c>
      <c r="I55" s="347">
        <v>535.0</v>
      </c>
      <c r="J55" s="346">
        <f t="shared" si="52"/>
        <v>1070</v>
      </c>
      <c r="K55" s="316">
        <f>239.1-0.45</f>
        <v>238.65</v>
      </c>
      <c r="L55" s="316">
        <f>240.9+0.45</f>
        <v>241.35</v>
      </c>
      <c r="M55" s="316">
        <f t="shared" si="53"/>
        <v>2.7</v>
      </c>
      <c r="N55" s="346">
        <f t="shared" si="54"/>
        <v>0.1623618</v>
      </c>
      <c r="O55" s="347">
        <v>7820.0</v>
      </c>
      <c r="P55" s="346">
        <f t="shared" si="55"/>
        <v>1269.669276</v>
      </c>
      <c r="Q55" s="350"/>
      <c r="S55" s="319" t="s">
        <v>421</v>
      </c>
      <c r="T55" s="319" t="s">
        <v>419</v>
      </c>
      <c r="W55" s="345" t="s">
        <v>421</v>
      </c>
      <c r="X55" s="346"/>
      <c r="Y55" s="347">
        <v>2.0</v>
      </c>
      <c r="Z55" s="348">
        <v>-567.4</v>
      </c>
      <c r="AA55" s="348">
        <v>-511.2</v>
      </c>
      <c r="AB55" s="349">
        <f t="shared" si="56"/>
        <v>56.2</v>
      </c>
      <c r="AC55" s="316">
        <f>239.1-0.45</f>
        <v>238.65</v>
      </c>
      <c r="AD55" s="316">
        <f>240.9+0.45</f>
        <v>241.35</v>
      </c>
      <c r="AE55" s="316">
        <f t="shared" si="57"/>
        <v>2.7</v>
      </c>
      <c r="AF55" s="347">
        <v>508.4</v>
      </c>
      <c r="AG55" s="347">
        <v>508.4</v>
      </c>
      <c r="AH55" s="346">
        <f t="shared" si="58"/>
        <v>1016.8</v>
      </c>
      <c r="AI55" s="346">
        <f t="shared" si="59"/>
        <v>0.154289232</v>
      </c>
      <c r="AJ55" s="347">
        <v>7820.0</v>
      </c>
      <c r="AK55" s="346">
        <f t="shared" si="60"/>
        <v>1206.541794</v>
      </c>
      <c r="AL55" s="350"/>
      <c r="AM55" s="158"/>
      <c r="AN55" s="158"/>
      <c r="AO55" s="158"/>
    </row>
    <row r="56">
      <c r="B56" s="345" t="s">
        <v>422</v>
      </c>
      <c r="C56" s="346"/>
      <c r="D56" s="347">
        <v>3.0</v>
      </c>
      <c r="E56" s="348">
        <v>-567.4</v>
      </c>
      <c r="F56" s="348">
        <v>-511.2</v>
      </c>
      <c r="G56" s="349">
        <f t="shared" si="51"/>
        <v>56.2</v>
      </c>
      <c r="H56" s="347">
        <v>-535.0</v>
      </c>
      <c r="I56" s="347">
        <v>535.0</v>
      </c>
      <c r="J56" s="346">
        <f t="shared" si="52"/>
        <v>1070</v>
      </c>
      <c r="K56" s="316">
        <f>79.1-0.45</f>
        <v>78.65</v>
      </c>
      <c r="L56" s="316">
        <f>80.9+0.45</f>
        <v>81.35</v>
      </c>
      <c r="M56" s="316">
        <f t="shared" si="53"/>
        <v>2.7</v>
      </c>
      <c r="N56" s="346">
        <f t="shared" si="54"/>
        <v>0.1623618</v>
      </c>
      <c r="O56" s="347">
        <v>7820.0</v>
      </c>
      <c r="P56" s="346">
        <f t="shared" si="55"/>
        <v>1269.669276</v>
      </c>
      <c r="Q56" s="350"/>
      <c r="S56" s="319" t="s">
        <v>423</v>
      </c>
      <c r="T56" s="319" t="s">
        <v>419</v>
      </c>
      <c r="W56" s="345" t="s">
        <v>423</v>
      </c>
      <c r="X56" s="346"/>
      <c r="Y56" s="347">
        <v>3.0</v>
      </c>
      <c r="Z56" s="348">
        <v>-567.4</v>
      </c>
      <c r="AA56" s="348">
        <v>-511.2</v>
      </c>
      <c r="AB56" s="349">
        <f t="shared" si="56"/>
        <v>56.2</v>
      </c>
      <c r="AC56" s="316">
        <f>79.1-0.45</f>
        <v>78.65</v>
      </c>
      <c r="AD56" s="316">
        <f>80.9+0.45</f>
        <v>81.35</v>
      </c>
      <c r="AE56" s="316">
        <f t="shared" si="57"/>
        <v>2.7</v>
      </c>
      <c r="AF56" s="347">
        <v>508.4</v>
      </c>
      <c r="AG56" s="347">
        <v>508.4</v>
      </c>
      <c r="AH56" s="346">
        <f t="shared" si="58"/>
        <v>1016.8</v>
      </c>
      <c r="AI56" s="346">
        <f t="shared" si="59"/>
        <v>0.154289232</v>
      </c>
      <c r="AJ56" s="347">
        <v>7820.0</v>
      </c>
      <c r="AK56" s="346">
        <f t="shared" si="60"/>
        <v>1206.541794</v>
      </c>
      <c r="AL56" s="350"/>
      <c r="AM56" s="158"/>
      <c r="AN56" s="158"/>
      <c r="AO56" s="158"/>
    </row>
    <row r="57">
      <c r="B57" s="345" t="s">
        <v>424</v>
      </c>
      <c r="C57" s="346"/>
      <c r="D57" s="347">
        <v>4.0</v>
      </c>
      <c r="E57" s="348">
        <v>-567.4</v>
      </c>
      <c r="F57" s="348">
        <v>-511.2</v>
      </c>
      <c r="G57" s="349">
        <f t="shared" si="51"/>
        <v>56.2</v>
      </c>
      <c r="H57" s="347">
        <v>-535.0</v>
      </c>
      <c r="I57" s="347">
        <v>535.0</v>
      </c>
      <c r="J57" s="346">
        <f t="shared" si="52"/>
        <v>1070</v>
      </c>
      <c r="K57" s="316">
        <f>-80.9-0.45</f>
        <v>-81.35</v>
      </c>
      <c r="L57" s="316">
        <f>-79.1+0.45</f>
        <v>-78.65</v>
      </c>
      <c r="M57" s="316">
        <f t="shared" si="53"/>
        <v>2.7</v>
      </c>
      <c r="N57" s="346">
        <f t="shared" si="54"/>
        <v>0.1623618</v>
      </c>
      <c r="O57" s="347">
        <v>7820.0</v>
      </c>
      <c r="P57" s="346">
        <f t="shared" si="55"/>
        <v>1269.669276</v>
      </c>
      <c r="Q57" s="350"/>
      <c r="S57" s="319" t="s">
        <v>425</v>
      </c>
      <c r="T57" s="319" t="s">
        <v>419</v>
      </c>
      <c r="W57" s="345" t="s">
        <v>425</v>
      </c>
      <c r="X57" s="346"/>
      <c r="Y57" s="347">
        <v>4.0</v>
      </c>
      <c r="Z57" s="348">
        <v>-567.4</v>
      </c>
      <c r="AA57" s="348">
        <v>-511.2</v>
      </c>
      <c r="AB57" s="349">
        <f t="shared" si="56"/>
        <v>56.2</v>
      </c>
      <c r="AC57" s="316">
        <f>-80.9-0.45</f>
        <v>-81.35</v>
      </c>
      <c r="AD57" s="316">
        <f>-79.1+0.45</f>
        <v>-78.65</v>
      </c>
      <c r="AE57" s="316">
        <f t="shared" si="57"/>
        <v>2.7</v>
      </c>
      <c r="AF57" s="347">
        <v>508.4</v>
      </c>
      <c r="AG57" s="347">
        <v>508.4</v>
      </c>
      <c r="AH57" s="346">
        <f t="shared" si="58"/>
        <v>1016.8</v>
      </c>
      <c r="AI57" s="346">
        <f t="shared" si="59"/>
        <v>0.154289232</v>
      </c>
      <c r="AJ57" s="347">
        <v>7820.0</v>
      </c>
      <c r="AK57" s="346">
        <f t="shared" si="60"/>
        <v>1206.541794</v>
      </c>
      <c r="AL57" s="350"/>
      <c r="AM57" s="158"/>
      <c r="AN57" s="158"/>
      <c r="AO57" s="158"/>
    </row>
    <row r="58">
      <c r="B58" s="345" t="s">
        <v>426</v>
      </c>
      <c r="C58" s="346"/>
      <c r="D58" s="347">
        <v>5.0</v>
      </c>
      <c r="E58" s="348">
        <v>-567.4</v>
      </c>
      <c r="F58" s="348">
        <v>-511.2</v>
      </c>
      <c r="G58" s="349">
        <f t="shared" si="51"/>
        <v>56.2</v>
      </c>
      <c r="H58" s="347">
        <v>-535.0</v>
      </c>
      <c r="I58" s="347">
        <v>535.0</v>
      </c>
      <c r="J58" s="346">
        <f t="shared" si="52"/>
        <v>1070</v>
      </c>
      <c r="K58" s="316">
        <f>-240.9-0.45</f>
        <v>-241.35</v>
      </c>
      <c r="L58" s="316">
        <f>-239.1+0.45</f>
        <v>-238.65</v>
      </c>
      <c r="M58" s="316">
        <f t="shared" si="53"/>
        <v>2.7</v>
      </c>
      <c r="N58" s="346">
        <f t="shared" si="54"/>
        <v>0.1623618</v>
      </c>
      <c r="O58" s="347">
        <v>7820.0</v>
      </c>
      <c r="P58" s="346">
        <f t="shared" si="55"/>
        <v>1269.669276</v>
      </c>
      <c r="Q58" s="350"/>
      <c r="S58" s="319" t="s">
        <v>427</v>
      </c>
      <c r="T58" s="319" t="s">
        <v>419</v>
      </c>
      <c r="W58" s="345" t="s">
        <v>427</v>
      </c>
      <c r="X58" s="346"/>
      <c r="Y58" s="347">
        <v>5.0</v>
      </c>
      <c r="Z58" s="348">
        <v>-567.4</v>
      </c>
      <c r="AA58" s="348">
        <v>-511.2</v>
      </c>
      <c r="AB58" s="349">
        <f t="shared" si="56"/>
        <v>56.2</v>
      </c>
      <c r="AC58" s="316">
        <f>-240.9-0.45</f>
        <v>-241.35</v>
      </c>
      <c r="AD58" s="316">
        <f>-239.1+0.45</f>
        <v>-238.65</v>
      </c>
      <c r="AE58" s="316">
        <f t="shared" si="57"/>
        <v>2.7</v>
      </c>
      <c r="AF58" s="347">
        <v>508.4</v>
      </c>
      <c r="AG58" s="347">
        <v>508.4</v>
      </c>
      <c r="AH58" s="346">
        <f t="shared" si="58"/>
        <v>1016.8</v>
      </c>
      <c r="AI58" s="346">
        <f t="shared" si="59"/>
        <v>0.154289232</v>
      </c>
      <c r="AJ58" s="347">
        <v>7820.0</v>
      </c>
      <c r="AK58" s="346">
        <f t="shared" si="60"/>
        <v>1206.541794</v>
      </c>
      <c r="AL58" s="350"/>
      <c r="AM58" s="158"/>
      <c r="AN58" s="158"/>
      <c r="AO58" s="158"/>
    </row>
    <row r="59">
      <c r="B59" s="345" t="s">
        <v>428</v>
      </c>
      <c r="C59" s="346"/>
      <c r="D59" s="347">
        <v>6.0</v>
      </c>
      <c r="E59" s="348">
        <v>-567.4</v>
      </c>
      <c r="F59" s="348">
        <v>-511.2</v>
      </c>
      <c r="G59" s="349">
        <f t="shared" si="51"/>
        <v>56.2</v>
      </c>
      <c r="H59" s="347">
        <v>-535.0</v>
      </c>
      <c r="I59" s="347">
        <v>535.0</v>
      </c>
      <c r="J59" s="346">
        <f t="shared" si="52"/>
        <v>1070</v>
      </c>
      <c r="K59" s="316">
        <f>-400.9-0.45</f>
        <v>-401.35</v>
      </c>
      <c r="L59" s="316">
        <f>-399.1+0.45</f>
        <v>-398.65</v>
      </c>
      <c r="M59" s="316">
        <f t="shared" si="53"/>
        <v>2.7</v>
      </c>
      <c r="N59" s="346">
        <f t="shared" si="54"/>
        <v>0.1623618</v>
      </c>
      <c r="O59" s="347">
        <v>7820.0</v>
      </c>
      <c r="P59" s="346">
        <f t="shared" si="55"/>
        <v>1269.669276</v>
      </c>
      <c r="Q59" s="350"/>
      <c r="S59" s="319" t="s">
        <v>429</v>
      </c>
      <c r="T59" s="319" t="s">
        <v>419</v>
      </c>
      <c r="W59" s="345" t="s">
        <v>429</v>
      </c>
      <c r="X59" s="346"/>
      <c r="Y59" s="347">
        <v>6.0</v>
      </c>
      <c r="Z59" s="348">
        <v>-567.4</v>
      </c>
      <c r="AA59" s="348">
        <v>-511.2</v>
      </c>
      <c r="AB59" s="349">
        <f t="shared" si="56"/>
        <v>56.2</v>
      </c>
      <c r="AC59" s="316">
        <f>-400.9-0.45</f>
        <v>-401.35</v>
      </c>
      <c r="AD59" s="316">
        <f>-399.1+0.45</f>
        <v>-398.65</v>
      </c>
      <c r="AE59" s="316">
        <f t="shared" si="57"/>
        <v>2.7</v>
      </c>
      <c r="AF59" s="347">
        <v>508.4</v>
      </c>
      <c r="AG59" s="347">
        <v>508.4</v>
      </c>
      <c r="AH59" s="346">
        <f t="shared" si="58"/>
        <v>1016.8</v>
      </c>
      <c r="AI59" s="346">
        <f t="shared" si="59"/>
        <v>0.154289232</v>
      </c>
      <c r="AJ59" s="347">
        <v>7820.0</v>
      </c>
      <c r="AK59" s="346">
        <f t="shared" si="60"/>
        <v>1206.541794</v>
      </c>
      <c r="AL59" s="350"/>
      <c r="AM59" s="158"/>
      <c r="AN59" s="158"/>
      <c r="AO59" s="158"/>
    </row>
    <row r="60">
      <c r="B60" s="352"/>
      <c r="C60" s="346"/>
      <c r="D60" s="347" t="s">
        <v>294</v>
      </c>
      <c r="E60" s="346"/>
      <c r="F60" s="346"/>
      <c r="G60" s="346"/>
      <c r="H60" s="346"/>
      <c r="I60" s="346"/>
      <c r="J60" s="346"/>
      <c r="K60" s="346"/>
      <c r="L60" s="346"/>
      <c r="M60" s="346"/>
      <c r="N60" s="346">
        <f>SUM(N54:N59)</f>
        <v>0.9741708</v>
      </c>
      <c r="O60" s="346"/>
      <c r="P60" s="346">
        <f>SUM(P54:P59)</f>
        <v>7618.015656</v>
      </c>
      <c r="Q60" s="350"/>
      <c r="S60" s="321"/>
      <c r="T60" s="321"/>
      <c r="U60" s="321"/>
      <c r="V60" s="321"/>
      <c r="W60" s="352"/>
      <c r="X60" s="346"/>
      <c r="Y60" s="347" t="s">
        <v>294</v>
      </c>
      <c r="Z60" s="346"/>
      <c r="AA60" s="346"/>
      <c r="AB60" s="346"/>
      <c r="AC60" s="346"/>
      <c r="AD60" s="346"/>
      <c r="AE60" s="346"/>
      <c r="AF60" s="346"/>
      <c r="AG60" s="346"/>
      <c r="AH60" s="346"/>
      <c r="AI60" s="346">
        <f>SUM(AI54:AI59)</f>
        <v>0.925735392</v>
      </c>
      <c r="AJ60" s="346"/>
      <c r="AK60" s="346">
        <f>SUM(AK54:AK59)</f>
        <v>7239.250765</v>
      </c>
      <c r="AL60" s="350"/>
      <c r="AM60" s="158">
        <f>AI60+N60</f>
        <v>1.899906192</v>
      </c>
      <c r="AN60" s="158"/>
      <c r="AO60" s="158"/>
    </row>
    <row r="61">
      <c r="B61" s="355"/>
      <c r="C61" s="356"/>
      <c r="D61" s="356"/>
      <c r="E61" s="356"/>
      <c r="F61" s="356"/>
      <c r="G61" s="356"/>
      <c r="H61" s="356"/>
      <c r="I61" s="356"/>
      <c r="J61" s="356"/>
      <c r="K61" s="356"/>
      <c r="L61" s="356"/>
      <c r="M61" s="356"/>
      <c r="N61" s="356"/>
      <c r="O61" s="356"/>
      <c r="P61" s="356">
        <f>P60/1000</f>
        <v>7.618015656</v>
      </c>
      <c r="Q61" s="357" t="s">
        <v>371</v>
      </c>
      <c r="S61" s="321"/>
      <c r="T61" s="321"/>
      <c r="U61" s="321"/>
      <c r="V61" s="321"/>
      <c r="W61" s="355"/>
      <c r="X61" s="356"/>
      <c r="Y61" s="356"/>
      <c r="Z61" s="356"/>
      <c r="AA61" s="356"/>
      <c r="AB61" s="356"/>
      <c r="AC61" s="356"/>
      <c r="AD61" s="356"/>
      <c r="AE61" s="356"/>
      <c r="AF61" s="356"/>
      <c r="AG61" s="356"/>
      <c r="AH61" s="356"/>
      <c r="AI61" s="356"/>
      <c r="AJ61" s="356"/>
      <c r="AK61" s="356">
        <f>AK60/1000</f>
        <v>7.239250765</v>
      </c>
      <c r="AL61" s="357" t="s">
        <v>371</v>
      </c>
      <c r="AM61" s="307"/>
      <c r="AN61" s="307"/>
      <c r="AO61" s="307"/>
    </row>
    <row r="62">
      <c r="AM62" s="158"/>
      <c r="AN62" s="158"/>
      <c r="AO62" s="158"/>
    </row>
    <row r="63">
      <c r="AM63" s="158"/>
      <c r="AN63" s="158"/>
      <c r="AO63" s="158"/>
    </row>
    <row r="64">
      <c r="A64" s="358"/>
      <c r="B64" s="359"/>
      <c r="C64" s="359"/>
      <c r="D64" s="359"/>
      <c r="E64" s="359"/>
      <c r="F64" s="359"/>
      <c r="G64" s="359"/>
      <c r="H64" s="359"/>
      <c r="I64" s="359"/>
      <c r="J64" s="359"/>
      <c r="K64" s="359"/>
      <c r="L64" s="359"/>
      <c r="M64" s="359"/>
      <c r="N64" s="359"/>
      <c r="O64" s="359"/>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158"/>
      <c r="AN64" s="158"/>
      <c r="AO64" s="158"/>
    </row>
    <row r="65">
      <c r="A65" s="360"/>
      <c r="B65" s="361"/>
      <c r="C65" s="361"/>
      <c r="D65" s="361"/>
      <c r="E65" s="361"/>
      <c r="F65" s="361"/>
      <c r="G65" s="361"/>
      <c r="H65" s="361"/>
      <c r="I65" s="361"/>
      <c r="J65" s="361"/>
      <c r="K65" s="361"/>
      <c r="L65" s="361"/>
      <c r="M65" s="361"/>
      <c r="N65" s="361"/>
      <c r="O65" s="361"/>
      <c r="P65" s="361"/>
      <c r="Q65" s="361"/>
      <c r="R65" s="361"/>
      <c r="S65" s="361"/>
      <c r="T65" s="361"/>
      <c r="U65" s="361"/>
      <c r="V65" s="361"/>
      <c r="W65" s="361"/>
      <c r="X65" s="361"/>
      <c r="Y65" s="361"/>
      <c r="Z65" s="361"/>
      <c r="AA65" s="361"/>
      <c r="AB65" s="361"/>
      <c r="AC65" s="361"/>
      <c r="AD65" s="361"/>
      <c r="AE65" s="361"/>
      <c r="AF65" s="361"/>
      <c r="AG65" s="361"/>
      <c r="AH65" s="361"/>
      <c r="AI65" s="361"/>
      <c r="AJ65" s="361"/>
      <c r="AK65" s="361"/>
      <c r="AL65" s="361"/>
      <c r="AM65" s="158"/>
      <c r="AN65" s="158"/>
      <c r="AO65" s="158"/>
    </row>
    <row r="66">
      <c r="AM66" s="158"/>
      <c r="AN66" s="158"/>
      <c r="AO66" s="158"/>
    </row>
    <row r="67">
      <c r="AM67" s="158"/>
      <c r="AN67" s="158"/>
      <c r="AO67" s="158"/>
    </row>
    <row r="68">
      <c r="B68" s="308" t="s">
        <v>330</v>
      </c>
      <c r="C68" s="309" t="s">
        <v>331</v>
      </c>
      <c r="D68" s="309" t="s">
        <v>430</v>
      </c>
      <c r="E68" s="309" t="s">
        <v>333</v>
      </c>
      <c r="F68" s="309" t="s">
        <v>334</v>
      </c>
      <c r="G68" s="309" t="s">
        <v>335</v>
      </c>
      <c r="H68" s="309" t="s">
        <v>336</v>
      </c>
      <c r="I68" s="309" t="s">
        <v>337</v>
      </c>
      <c r="J68" s="309" t="s">
        <v>338</v>
      </c>
      <c r="K68" s="309" t="s">
        <v>339</v>
      </c>
      <c r="L68" s="309" t="s">
        <v>340</v>
      </c>
      <c r="M68" s="309" t="s">
        <v>341</v>
      </c>
      <c r="N68" s="309" t="s">
        <v>235</v>
      </c>
      <c r="O68" s="309" t="s">
        <v>342</v>
      </c>
      <c r="P68" s="309" t="s">
        <v>229</v>
      </c>
      <c r="Q68" s="310"/>
      <c r="R68" s="307"/>
      <c r="W68" s="308" t="s">
        <v>330</v>
      </c>
      <c r="X68" s="309" t="s">
        <v>331</v>
      </c>
      <c r="Y68" s="364" t="s">
        <v>431</v>
      </c>
      <c r="Z68" s="309" t="s">
        <v>333</v>
      </c>
      <c r="AA68" s="309" t="s">
        <v>334</v>
      </c>
      <c r="AB68" s="309" t="s">
        <v>335</v>
      </c>
      <c r="AC68" s="309" t="s">
        <v>336</v>
      </c>
      <c r="AD68" s="309" t="s">
        <v>337</v>
      </c>
      <c r="AE68" s="309" t="s">
        <v>338</v>
      </c>
      <c r="AF68" s="309" t="s">
        <v>339</v>
      </c>
      <c r="AG68" s="309" t="s">
        <v>340</v>
      </c>
      <c r="AH68" s="309" t="s">
        <v>341</v>
      </c>
      <c r="AI68" s="309" t="s">
        <v>235</v>
      </c>
      <c r="AJ68" s="309" t="s">
        <v>342</v>
      </c>
      <c r="AK68" s="309" t="s">
        <v>229</v>
      </c>
      <c r="AL68" s="310"/>
      <c r="AM68" s="158"/>
      <c r="AN68" s="158"/>
      <c r="AO68" s="158"/>
    </row>
    <row r="69">
      <c r="B69" s="312" t="s">
        <v>432</v>
      </c>
      <c r="C69" s="313"/>
      <c r="D69" s="314">
        <v>1.0</v>
      </c>
      <c r="E69" s="314">
        <v>570.2</v>
      </c>
      <c r="F69" s="314">
        <v>570.2</v>
      </c>
      <c r="G69" s="315">
        <f t="shared" ref="G69:G74" si="61">SUM(E69:F69)</f>
        <v>1140.4</v>
      </c>
      <c r="H69" s="316">
        <v>411.4</v>
      </c>
      <c r="I69" s="316">
        <v>388.6</v>
      </c>
      <c r="J69" s="313">
        <f>H69-I69</f>
        <v>22.8</v>
      </c>
      <c r="K69" s="316">
        <v>567.4</v>
      </c>
      <c r="L69" s="316">
        <v>570.2</v>
      </c>
      <c r="M69" s="313">
        <f t="shared" ref="M69:M74" si="62">L69-K69</f>
        <v>2.8</v>
      </c>
      <c r="N69" s="313">
        <f t="shared" ref="N69:N74" si="63">(G69*J69*M69)/1000000</f>
        <v>0.072803136</v>
      </c>
      <c r="O69" s="316">
        <v>7820.0</v>
      </c>
      <c r="P69" s="313">
        <f t="shared" ref="P69:P74" si="64">N69*O69</f>
        <v>569.3205235</v>
      </c>
      <c r="Q69" s="317"/>
      <c r="R69" s="158"/>
      <c r="S69" s="319" t="s">
        <v>432</v>
      </c>
      <c r="T69" s="319" t="s">
        <v>433</v>
      </c>
      <c r="W69" s="312" t="s">
        <v>434</v>
      </c>
      <c r="X69" s="313"/>
      <c r="Y69" s="314">
        <v>1.0</v>
      </c>
      <c r="Z69" s="314">
        <v>-411.4</v>
      </c>
      <c r="AA69" s="314">
        <v>-388.6</v>
      </c>
      <c r="AB69" s="315">
        <f t="shared" ref="AB69:AB74" si="65">AA69-Z69</f>
        <v>22.8</v>
      </c>
      <c r="AC69" s="316">
        <v>535.0</v>
      </c>
      <c r="AD69" s="316">
        <v>535.0</v>
      </c>
      <c r="AE69" s="313">
        <f t="shared" ref="AE69:AE74" si="66">AD69+AC69</f>
        <v>1070</v>
      </c>
      <c r="AF69" s="316">
        <v>570.2</v>
      </c>
      <c r="AG69" s="316">
        <v>567.4</v>
      </c>
      <c r="AH69" s="313">
        <f t="shared" ref="AH69:AH74" si="67">AF69-AG69</f>
        <v>2.8</v>
      </c>
      <c r="AI69" s="313">
        <f t="shared" ref="AI69:AI74" si="68">(AB69*AE69*AH69)/1000000</f>
        <v>0.0683088</v>
      </c>
      <c r="AJ69" s="316">
        <v>7820.0</v>
      </c>
      <c r="AK69" s="313">
        <f t="shared" ref="AK69:AK74" si="69">AI69*AJ69</f>
        <v>534.174816</v>
      </c>
      <c r="AL69" s="317"/>
      <c r="AM69" s="158"/>
      <c r="AN69" s="158"/>
      <c r="AO69" s="158"/>
    </row>
    <row r="70">
      <c r="B70" s="312" t="s">
        <v>435</v>
      </c>
      <c r="C70" s="313"/>
      <c r="D70" s="314">
        <v>2.0</v>
      </c>
      <c r="E70" s="314">
        <v>570.2</v>
      </c>
      <c r="F70" s="314">
        <v>570.2</v>
      </c>
      <c r="G70" s="315">
        <f t="shared" si="61"/>
        <v>1140.4</v>
      </c>
      <c r="H70" s="316">
        <v>228.6</v>
      </c>
      <c r="I70" s="316">
        <v>251.4</v>
      </c>
      <c r="J70" s="313">
        <f t="shared" ref="J70:J74" si="70">I70-H70</f>
        <v>22.8</v>
      </c>
      <c r="K70" s="316">
        <v>567.4</v>
      </c>
      <c r="L70" s="316">
        <v>570.2</v>
      </c>
      <c r="M70" s="313">
        <f t="shared" si="62"/>
        <v>2.8</v>
      </c>
      <c r="N70" s="313">
        <f t="shared" si="63"/>
        <v>0.072803136</v>
      </c>
      <c r="O70" s="316">
        <v>7820.0</v>
      </c>
      <c r="P70" s="313">
        <f t="shared" si="64"/>
        <v>569.3205235</v>
      </c>
      <c r="Q70" s="317"/>
      <c r="S70" s="319" t="s">
        <v>435</v>
      </c>
      <c r="T70" s="319" t="s">
        <v>433</v>
      </c>
      <c r="W70" s="323" t="s">
        <v>436</v>
      </c>
      <c r="X70" s="313"/>
      <c r="Y70" s="314">
        <v>2.0</v>
      </c>
      <c r="Z70" s="314">
        <v>-251.4</v>
      </c>
      <c r="AA70" s="314">
        <v>-228.6</v>
      </c>
      <c r="AB70" s="315">
        <f t="shared" si="65"/>
        <v>22.8</v>
      </c>
      <c r="AC70" s="316">
        <v>535.0</v>
      </c>
      <c r="AD70" s="316">
        <v>535.0</v>
      </c>
      <c r="AE70" s="313">
        <f t="shared" si="66"/>
        <v>1070</v>
      </c>
      <c r="AF70" s="316">
        <v>570.2</v>
      </c>
      <c r="AG70" s="316">
        <v>567.4</v>
      </c>
      <c r="AH70" s="313">
        <f t="shared" si="67"/>
        <v>2.8</v>
      </c>
      <c r="AI70" s="313">
        <f t="shared" si="68"/>
        <v>0.0683088</v>
      </c>
      <c r="AJ70" s="316">
        <v>7820.0</v>
      </c>
      <c r="AK70" s="313">
        <f t="shared" si="69"/>
        <v>534.174816</v>
      </c>
      <c r="AL70" s="317"/>
      <c r="AM70" s="158"/>
      <c r="AN70" s="158"/>
      <c r="AO70" s="158"/>
    </row>
    <row r="71">
      <c r="B71" s="312" t="s">
        <v>437</v>
      </c>
      <c r="C71" s="313"/>
      <c r="D71" s="314">
        <v>3.0</v>
      </c>
      <c r="E71" s="314">
        <v>570.2</v>
      </c>
      <c r="F71" s="314">
        <v>570.2</v>
      </c>
      <c r="G71" s="315">
        <f t="shared" si="61"/>
        <v>1140.4</v>
      </c>
      <c r="H71" s="316">
        <v>68.6</v>
      </c>
      <c r="I71" s="316">
        <v>91.4</v>
      </c>
      <c r="J71" s="313">
        <f t="shared" si="70"/>
        <v>22.8</v>
      </c>
      <c r="K71" s="316">
        <v>567.4</v>
      </c>
      <c r="L71" s="316">
        <v>570.2</v>
      </c>
      <c r="M71" s="313">
        <f t="shared" si="62"/>
        <v>2.8</v>
      </c>
      <c r="N71" s="313">
        <f t="shared" si="63"/>
        <v>0.072803136</v>
      </c>
      <c r="O71" s="316">
        <v>7820.0</v>
      </c>
      <c r="P71" s="313">
        <f t="shared" si="64"/>
        <v>569.3205235</v>
      </c>
      <c r="Q71" s="317"/>
      <c r="S71" s="319" t="s">
        <v>437</v>
      </c>
      <c r="T71" s="319" t="s">
        <v>433</v>
      </c>
      <c r="W71" s="323" t="s">
        <v>438</v>
      </c>
      <c r="X71" s="313"/>
      <c r="Y71" s="314">
        <v>3.0</v>
      </c>
      <c r="Z71" s="314">
        <v>-91.4</v>
      </c>
      <c r="AA71" s="314">
        <v>-68.6</v>
      </c>
      <c r="AB71" s="315">
        <f t="shared" si="65"/>
        <v>22.8</v>
      </c>
      <c r="AC71" s="316">
        <v>535.0</v>
      </c>
      <c r="AD71" s="316">
        <v>535.0</v>
      </c>
      <c r="AE71" s="313">
        <f t="shared" si="66"/>
        <v>1070</v>
      </c>
      <c r="AF71" s="316">
        <v>570.2</v>
      </c>
      <c r="AG71" s="316">
        <v>567.4</v>
      </c>
      <c r="AH71" s="313">
        <f t="shared" si="67"/>
        <v>2.8</v>
      </c>
      <c r="AI71" s="313">
        <f t="shared" si="68"/>
        <v>0.0683088</v>
      </c>
      <c r="AJ71" s="316">
        <v>7820.0</v>
      </c>
      <c r="AK71" s="313">
        <f t="shared" si="69"/>
        <v>534.174816</v>
      </c>
      <c r="AL71" s="317"/>
      <c r="AM71" s="158"/>
      <c r="AN71" s="158"/>
      <c r="AO71" s="158"/>
    </row>
    <row r="72">
      <c r="B72" s="312" t="s">
        <v>439</v>
      </c>
      <c r="C72" s="313"/>
      <c r="D72" s="314">
        <v>4.0</v>
      </c>
      <c r="E72" s="314">
        <v>570.2</v>
      </c>
      <c r="F72" s="314">
        <v>570.2</v>
      </c>
      <c r="G72" s="315">
        <f t="shared" si="61"/>
        <v>1140.4</v>
      </c>
      <c r="H72" s="316">
        <v>-91.4</v>
      </c>
      <c r="I72" s="316">
        <v>-68.6</v>
      </c>
      <c r="J72" s="313">
        <f t="shared" si="70"/>
        <v>22.8</v>
      </c>
      <c r="K72" s="316">
        <v>567.4</v>
      </c>
      <c r="L72" s="316">
        <v>570.2</v>
      </c>
      <c r="M72" s="313">
        <f t="shared" si="62"/>
        <v>2.8</v>
      </c>
      <c r="N72" s="313">
        <f t="shared" si="63"/>
        <v>0.072803136</v>
      </c>
      <c r="O72" s="316">
        <v>7820.0</v>
      </c>
      <c r="P72" s="313">
        <f t="shared" si="64"/>
        <v>569.3205235</v>
      </c>
      <c r="Q72" s="317"/>
      <c r="S72" s="319" t="s">
        <v>439</v>
      </c>
      <c r="T72" s="319" t="s">
        <v>433</v>
      </c>
      <c r="W72" s="312" t="s">
        <v>440</v>
      </c>
      <c r="X72" s="313"/>
      <c r="Y72" s="314">
        <v>4.0</v>
      </c>
      <c r="Z72" s="314">
        <v>68.6</v>
      </c>
      <c r="AA72" s="314">
        <v>91.4</v>
      </c>
      <c r="AB72" s="315">
        <f t="shared" si="65"/>
        <v>22.8</v>
      </c>
      <c r="AC72" s="316">
        <v>535.0</v>
      </c>
      <c r="AD72" s="316">
        <v>535.0</v>
      </c>
      <c r="AE72" s="313">
        <f t="shared" si="66"/>
        <v>1070</v>
      </c>
      <c r="AF72" s="316">
        <v>570.2</v>
      </c>
      <c r="AG72" s="316">
        <v>567.4</v>
      </c>
      <c r="AH72" s="313">
        <f t="shared" si="67"/>
        <v>2.8</v>
      </c>
      <c r="AI72" s="313">
        <f t="shared" si="68"/>
        <v>0.0683088</v>
      </c>
      <c r="AJ72" s="316">
        <v>7820.0</v>
      </c>
      <c r="AK72" s="313">
        <f t="shared" si="69"/>
        <v>534.174816</v>
      </c>
      <c r="AL72" s="317"/>
      <c r="AM72" s="158"/>
      <c r="AN72" s="158"/>
      <c r="AO72" s="158"/>
    </row>
    <row r="73">
      <c r="B73" s="312" t="s">
        <v>441</v>
      </c>
      <c r="C73" s="313"/>
      <c r="D73" s="314">
        <v>5.0</v>
      </c>
      <c r="E73" s="314">
        <v>570.2</v>
      </c>
      <c r="F73" s="314">
        <v>570.2</v>
      </c>
      <c r="G73" s="315">
        <f t="shared" si="61"/>
        <v>1140.4</v>
      </c>
      <c r="H73" s="316">
        <v>-251.4</v>
      </c>
      <c r="I73" s="316">
        <v>-228.6</v>
      </c>
      <c r="J73" s="313">
        <f t="shared" si="70"/>
        <v>22.8</v>
      </c>
      <c r="K73" s="316">
        <v>567.4</v>
      </c>
      <c r="L73" s="316">
        <v>570.2</v>
      </c>
      <c r="M73" s="313">
        <f t="shared" si="62"/>
        <v>2.8</v>
      </c>
      <c r="N73" s="313">
        <f t="shared" si="63"/>
        <v>0.072803136</v>
      </c>
      <c r="O73" s="316">
        <v>7820.0</v>
      </c>
      <c r="P73" s="313">
        <f t="shared" si="64"/>
        <v>569.3205235</v>
      </c>
      <c r="Q73" s="317"/>
      <c r="S73" s="319" t="s">
        <v>441</v>
      </c>
      <c r="T73" s="319" t="s">
        <v>433</v>
      </c>
      <c r="W73" s="312" t="s">
        <v>442</v>
      </c>
      <c r="X73" s="313"/>
      <c r="Y73" s="314">
        <v>5.0</v>
      </c>
      <c r="Z73" s="314">
        <v>228.6</v>
      </c>
      <c r="AA73" s="314">
        <v>251.4</v>
      </c>
      <c r="AB73" s="315">
        <f t="shared" si="65"/>
        <v>22.8</v>
      </c>
      <c r="AC73" s="316">
        <v>535.0</v>
      </c>
      <c r="AD73" s="316">
        <v>535.0</v>
      </c>
      <c r="AE73" s="313">
        <f t="shared" si="66"/>
        <v>1070</v>
      </c>
      <c r="AF73" s="316">
        <v>570.2</v>
      </c>
      <c r="AG73" s="316">
        <v>567.4</v>
      </c>
      <c r="AH73" s="313">
        <f t="shared" si="67"/>
        <v>2.8</v>
      </c>
      <c r="AI73" s="313">
        <f t="shared" si="68"/>
        <v>0.0683088</v>
      </c>
      <c r="AJ73" s="316">
        <v>7820.0</v>
      </c>
      <c r="AK73" s="313">
        <f t="shared" si="69"/>
        <v>534.174816</v>
      </c>
      <c r="AL73" s="317"/>
      <c r="AM73" s="158"/>
      <c r="AN73" s="158"/>
      <c r="AO73" s="158"/>
    </row>
    <row r="74">
      <c r="B74" s="312" t="s">
        <v>443</v>
      </c>
      <c r="C74" s="313"/>
      <c r="D74" s="314">
        <v>6.0</v>
      </c>
      <c r="E74" s="314">
        <v>570.2</v>
      </c>
      <c r="F74" s="314">
        <v>570.2</v>
      </c>
      <c r="G74" s="315">
        <f t="shared" si="61"/>
        <v>1140.4</v>
      </c>
      <c r="H74" s="316">
        <v>-411.4</v>
      </c>
      <c r="I74" s="316">
        <v>-388.6</v>
      </c>
      <c r="J74" s="313">
        <f t="shared" si="70"/>
        <v>22.8</v>
      </c>
      <c r="K74" s="316">
        <v>567.4</v>
      </c>
      <c r="L74" s="316">
        <v>570.2</v>
      </c>
      <c r="M74" s="313">
        <f t="shared" si="62"/>
        <v>2.8</v>
      </c>
      <c r="N74" s="313">
        <f t="shared" si="63"/>
        <v>0.072803136</v>
      </c>
      <c r="O74" s="316">
        <v>7820.0</v>
      </c>
      <c r="P74" s="313">
        <f t="shared" si="64"/>
        <v>569.3205235</v>
      </c>
      <c r="Q74" s="317"/>
      <c r="S74" s="319" t="s">
        <v>443</v>
      </c>
      <c r="T74" s="319" t="s">
        <v>433</v>
      </c>
      <c r="W74" s="312" t="s">
        <v>444</v>
      </c>
      <c r="X74" s="313"/>
      <c r="Y74" s="314">
        <v>6.0</v>
      </c>
      <c r="Z74" s="314">
        <v>388.6</v>
      </c>
      <c r="AA74" s="314">
        <v>411.4</v>
      </c>
      <c r="AB74" s="315">
        <f t="shared" si="65"/>
        <v>22.8</v>
      </c>
      <c r="AC74" s="316">
        <v>535.0</v>
      </c>
      <c r="AD74" s="316">
        <v>535.0</v>
      </c>
      <c r="AE74" s="313">
        <f t="shared" si="66"/>
        <v>1070</v>
      </c>
      <c r="AF74" s="316">
        <v>570.2</v>
      </c>
      <c r="AG74" s="316">
        <v>567.4</v>
      </c>
      <c r="AH74" s="313">
        <f t="shared" si="67"/>
        <v>2.8</v>
      </c>
      <c r="AI74" s="313">
        <f t="shared" si="68"/>
        <v>0.0683088</v>
      </c>
      <c r="AJ74" s="316">
        <v>7820.0</v>
      </c>
      <c r="AK74" s="313">
        <f t="shared" si="69"/>
        <v>534.174816</v>
      </c>
      <c r="AL74" s="317"/>
      <c r="AM74" s="158"/>
      <c r="AN74" s="158"/>
      <c r="AO74" s="158"/>
    </row>
    <row r="75">
      <c r="B75" s="320"/>
      <c r="C75" s="313"/>
      <c r="D75" s="316" t="s">
        <v>294</v>
      </c>
      <c r="E75" s="313"/>
      <c r="F75" s="313"/>
      <c r="G75" s="313"/>
      <c r="H75" s="313"/>
      <c r="I75" s="313"/>
      <c r="J75" s="313"/>
      <c r="K75" s="313"/>
      <c r="L75" s="313"/>
      <c r="M75" s="313"/>
      <c r="N75" s="313">
        <f>SUM(N69:N74)</f>
        <v>0.436818816</v>
      </c>
      <c r="O75" s="313"/>
      <c r="P75" s="313">
        <f>SUM(P69:P74)</f>
        <v>3415.923141</v>
      </c>
      <c r="Q75" s="317"/>
      <c r="S75" s="321"/>
      <c r="T75" s="321"/>
      <c r="U75" s="321"/>
      <c r="V75" s="321"/>
      <c r="W75" s="320"/>
      <c r="X75" s="313"/>
      <c r="Y75" s="316" t="s">
        <v>294</v>
      </c>
      <c r="Z75" s="313"/>
      <c r="AA75" s="313"/>
      <c r="AB75" s="313"/>
      <c r="AC75" s="313"/>
      <c r="AD75" s="313"/>
      <c r="AE75" s="313"/>
      <c r="AF75" s="313"/>
      <c r="AG75" s="313"/>
      <c r="AH75" s="313"/>
      <c r="AI75" s="313">
        <f>SUM(AI69:AI74)</f>
        <v>0.4098528</v>
      </c>
      <c r="AJ75" s="313"/>
      <c r="AK75" s="313">
        <f>SUM(AK69:AK74)</f>
        <v>3205.048896</v>
      </c>
      <c r="AL75" s="317"/>
      <c r="AM75" s="158">
        <f>AI75+N75</f>
        <v>0.846671616</v>
      </c>
      <c r="AN75" s="158"/>
      <c r="AO75" s="158"/>
    </row>
    <row r="76">
      <c r="B76" s="320"/>
      <c r="C76" s="313"/>
      <c r="D76" s="313"/>
      <c r="E76" s="313"/>
      <c r="F76" s="313"/>
      <c r="G76" s="313"/>
      <c r="H76" s="313"/>
      <c r="I76" s="313"/>
      <c r="J76" s="313"/>
      <c r="K76" s="313"/>
      <c r="L76" s="313"/>
      <c r="M76" s="313"/>
      <c r="N76" s="313"/>
      <c r="O76" s="313"/>
      <c r="P76" s="313">
        <f>P75/1000</f>
        <v>3.415923141</v>
      </c>
      <c r="Q76" s="322" t="s">
        <v>356</v>
      </c>
      <c r="S76" s="321"/>
      <c r="T76" s="321"/>
      <c r="U76" s="321"/>
      <c r="V76" s="321"/>
      <c r="W76" s="320"/>
      <c r="X76" s="313"/>
      <c r="Y76" s="313"/>
      <c r="Z76" s="313"/>
      <c r="AA76" s="313"/>
      <c r="AB76" s="313"/>
      <c r="AC76" s="313"/>
      <c r="AD76" s="313"/>
      <c r="AE76" s="313"/>
      <c r="AF76" s="313"/>
      <c r="AG76" s="313"/>
      <c r="AH76" s="313"/>
      <c r="AI76" s="313"/>
      <c r="AJ76" s="313"/>
      <c r="AK76" s="313">
        <f>AK75/1000</f>
        <v>3.205048896</v>
      </c>
      <c r="AL76" s="322" t="s">
        <v>356</v>
      </c>
      <c r="AM76" s="307"/>
      <c r="AN76" s="307"/>
      <c r="AO76" s="307"/>
    </row>
    <row r="77">
      <c r="B77" s="320"/>
      <c r="C77" s="313"/>
      <c r="D77" s="313"/>
      <c r="E77" s="313"/>
      <c r="F77" s="313"/>
      <c r="G77" s="313"/>
      <c r="H77" s="313"/>
      <c r="I77" s="313"/>
      <c r="J77" s="313"/>
      <c r="K77" s="313"/>
      <c r="L77" s="313"/>
      <c r="M77" s="313"/>
      <c r="N77" s="313"/>
      <c r="O77" s="313"/>
      <c r="P77" s="313"/>
      <c r="Q77" s="322"/>
      <c r="S77" s="321"/>
      <c r="T77" s="321"/>
      <c r="U77" s="321"/>
      <c r="V77" s="321"/>
      <c r="W77" s="320"/>
      <c r="X77" s="313"/>
      <c r="Y77" s="313"/>
      <c r="Z77" s="313"/>
      <c r="AA77" s="313"/>
      <c r="AB77" s="313"/>
      <c r="AC77" s="313"/>
      <c r="AD77" s="313"/>
      <c r="AE77" s="313"/>
      <c r="AF77" s="313"/>
      <c r="AG77" s="313"/>
      <c r="AH77" s="313"/>
      <c r="AI77" s="313"/>
      <c r="AJ77" s="313"/>
      <c r="AK77" s="313"/>
      <c r="AL77" s="322"/>
      <c r="AM77" s="307"/>
      <c r="AN77" s="307"/>
      <c r="AO77" s="307"/>
    </row>
    <row r="78">
      <c r="B78" s="323" t="s">
        <v>330</v>
      </c>
      <c r="C78" s="316" t="s">
        <v>357</v>
      </c>
      <c r="D78" s="316" t="s">
        <v>431</v>
      </c>
      <c r="E78" s="316" t="s">
        <v>333</v>
      </c>
      <c r="F78" s="316" t="s">
        <v>334</v>
      </c>
      <c r="G78" s="316" t="s">
        <v>335</v>
      </c>
      <c r="H78" s="316" t="s">
        <v>336</v>
      </c>
      <c r="I78" s="316" t="s">
        <v>337</v>
      </c>
      <c r="J78" s="316" t="s">
        <v>338</v>
      </c>
      <c r="K78" s="316" t="s">
        <v>339</v>
      </c>
      <c r="L78" s="316" t="s">
        <v>340</v>
      </c>
      <c r="M78" s="316" t="s">
        <v>341</v>
      </c>
      <c r="N78" s="316" t="s">
        <v>235</v>
      </c>
      <c r="O78" s="316" t="s">
        <v>342</v>
      </c>
      <c r="P78" s="316" t="s">
        <v>229</v>
      </c>
      <c r="Q78" s="317"/>
      <c r="S78" s="321"/>
      <c r="T78" s="321"/>
      <c r="U78" s="321"/>
      <c r="V78" s="321"/>
      <c r="W78" s="323" t="s">
        <v>330</v>
      </c>
      <c r="X78" s="316" t="s">
        <v>357</v>
      </c>
      <c r="Y78" s="362" t="s">
        <v>431</v>
      </c>
      <c r="Z78" s="316" t="s">
        <v>333</v>
      </c>
      <c r="AA78" s="316" t="s">
        <v>334</v>
      </c>
      <c r="AB78" s="316" t="s">
        <v>335</v>
      </c>
      <c r="AC78" s="316" t="s">
        <v>336</v>
      </c>
      <c r="AD78" s="316" t="s">
        <v>337</v>
      </c>
      <c r="AE78" s="316" t="s">
        <v>338</v>
      </c>
      <c r="AF78" s="316" t="s">
        <v>339</v>
      </c>
      <c r="AG78" s="316" t="s">
        <v>340</v>
      </c>
      <c r="AH78" s="316" t="s">
        <v>341</v>
      </c>
      <c r="AI78" s="316" t="s">
        <v>235</v>
      </c>
      <c r="AJ78" s="316" t="s">
        <v>342</v>
      </c>
      <c r="AK78" s="316" t="s">
        <v>229</v>
      </c>
      <c r="AL78" s="317"/>
      <c r="AM78" s="158"/>
      <c r="AN78" s="158"/>
      <c r="AO78" s="158"/>
    </row>
    <row r="79">
      <c r="B79" s="312" t="s">
        <v>445</v>
      </c>
      <c r="C79" s="313"/>
      <c r="D79" s="316">
        <v>1.0</v>
      </c>
      <c r="E79" s="316">
        <f t="shared" ref="E79:E84" si="71">-570.2</f>
        <v>-570.2</v>
      </c>
      <c r="F79" s="316">
        <v>-567.4</v>
      </c>
      <c r="G79" s="315">
        <f t="shared" ref="G79:G84" si="72">F79-E79</f>
        <v>2.8</v>
      </c>
      <c r="H79" s="316">
        <v>388.6</v>
      </c>
      <c r="I79" s="316">
        <v>411.4</v>
      </c>
      <c r="J79" s="313">
        <f t="shared" ref="J79:J84" si="73">I79-H79</f>
        <v>22.8</v>
      </c>
      <c r="K79" s="316">
        <v>508.4</v>
      </c>
      <c r="L79" s="316">
        <v>508.4</v>
      </c>
      <c r="M79" s="313">
        <f t="shared" ref="M79:M84" si="74">L79+K79</f>
        <v>1016.8</v>
      </c>
      <c r="N79" s="313">
        <f t="shared" ref="N79:N84" si="75">(G79*J79*M79)/1000000</f>
        <v>0.064912512</v>
      </c>
      <c r="O79" s="316">
        <v>7820.0</v>
      </c>
      <c r="P79" s="313">
        <f t="shared" ref="P79:P84" si="76">N79*O79</f>
        <v>507.6158438</v>
      </c>
      <c r="Q79" s="317"/>
      <c r="S79" s="319" t="s">
        <v>358</v>
      </c>
      <c r="T79" s="363" t="s">
        <v>446</v>
      </c>
      <c r="W79" s="312" t="s">
        <v>447</v>
      </c>
      <c r="X79" s="313"/>
      <c r="Y79" s="314">
        <v>1.0</v>
      </c>
      <c r="Z79" s="314">
        <v>-411.4</v>
      </c>
      <c r="AA79" s="314">
        <v>-388.6</v>
      </c>
      <c r="AB79" s="315">
        <f t="shared" ref="AB79:AB84" si="77">AA79-Z79</f>
        <v>22.8</v>
      </c>
      <c r="AC79" s="316">
        <v>535.0</v>
      </c>
      <c r="AD79" s="316">
        <v>535.0</v>
      </c>
      <c r="AE79" s="313">
        <f t="shared" ref="AE79:AE84" si="78">AD79+AC79</f>
        <v>1070</v>
      </c>
      <c r="AF79" s="316">
        <v>-570.2</v>
      </c>
      <c r="AG79" s="316">
        <v>-567.4</v>
      </c>
      <c r="AH79" s="313">
        <f t="shared" ref="AH79:AH84" si="79">AG79-AF79</f>
        <v>2.8</v>
      </c>
      <c r="AI79" s="313">
        <f t="shared" ref="AI79:AI84" si="80">(AB79*AE79*AH79)/1000000</f>
        <v>0.0683088</v>
      </c>
      <c r="AJ79" s="316">
        <v>7820.0</v>
      </c>
      <c r="AK79" s="313">
        <f t="shared" ref="AK79:AK84" si="81">AI79*AJ79</f>
        <v>534.174816</v>
      </c>
      <c r="AL79" s="317"/>
      <c r="AM79" s="158"/>
      <c r="AN79" s="158"/>
      <c r="AO79" s="158"/>
    </row>
    <row r="80">
      <c r="B80" s="323" t="s">
        <v>448</v>
      </c>
      <c r="C80" s="313"/>
      <c r="D80" s="316">
        <v>2.0</v>
      </c>
      <c r="E80" s="316">
        <f t="shared" si="71"/>
        <v>-570.2</v>
      </c>
      <c r="F80" s="316">
        <v>-567.4</v>
      </c>
      <c r="G80" s="315">
        <f t="shared" si="72"/>
        <v>2.8</v>
      </c>
      <c r="H80" s="316">
        <v>228.6</v>
      </c>
      <c r="I80" s="316">
        <v>251.4</v>
      </c>
      <c r="J80" s="313">
        <f t="shared" si="73"/>
        <v>22.8</v>
      </c>
      <c r="K80" s="316">
        <v>508.4</v>
      </c>
      <c r="L80" s="316">
        <v>508.4</v>
      </c>
      <c r="M80" s="313">
        <f t="shared" si="74"/>
        <v>1016.8</v>
      </c>
      <c r="N80" s="313">
        <f t="shared" si="75"/>
        <v>0.064912512</v>
      </c>
      <c r="O80" s="316">
        <v>7820.0</v>
      </c>
      <c r="P80" s="313">
        <f t="shared" si="76"/>
        <v>507.6158438</v>
      </c>
      <c r="Q80" s="317"/>
      <c r="S80" s="319" t="s">
        <v>361</v>
      </c>
      <c r="T80" s="363" t="s">
        <v>446</v>
      </c>
      <c r="W80" s="312" t="s">
        <v>449</v>
      </c>
      <c r="X80" s="313"/>
      <c r="Y80" s="314">
        <v>2.0</v>
      </c>
      <c r="Z80" s="314">
        <v>-251.4</v>
      </c>
      <c r="AA80" s="314">
        <v>-228.6</v>
      </c>
      <c r="AB80" s="315">
        <f t="shared" si="77"/>
        <v>22.8</v>
      </c>
      <c r="AC80" s="316">
        <v>535.0</v>
      </c>
      <c r="AD80" s="316">
        <v>535.0</v>
      </c>
      <c r="AE80" s="313">
        <f t="shared" si="78"/>
        <v>1070</v>
      </c>
      <c r="AF80" s="316">
        <v>-570.2</v>
      </c>
      <c r="AG80" s="316">
        <v>-567.4</v>
      </c>
      <c r="AH80" s="313">
        <f t="shared" si="79"/>
        <v>2.8</v>
      </c>
      <c r="AI80" s="313">
        <f t="shared" si="80"/>
        <v>0.0683088</v>
      </c>
      <c r="AJ80" s="316">
        <v>7820.0</v>
      </c>
      <c r="AK80" s="313">
        <f t="shared" si="81"/>
        <v>534.174816</v>
      </c>
      <c r="AL80" s="317"/>
      <c r="AM80" s="158"/>
      <c r="AN80" s="158"/>
      <c r="AO80" s="158"/>
    </row>
    <row r="81">
      <c r="B81" s="323" t="s">
        <v>450</v>
      </c>
      <c r="C81" s="313"/>
      <c r="D81" s="316">
        <v>3.0</v>
      </c>
      <c r="E81" s="316">
        <f t="shared" si="71"/>
        <v>-570.2</v>
      </c>
      <c r="F81" s="316">
        <v>-567.4</v>
      </c>
      <c r="G81" s="315">
        <f t="shared" si="72"/>
        <v>2.8</v>
      </c>
      <c r="H81" s="316">
        <v>68.6</v>
      </c>
      <c r="I81" s="316">
        <v>91.4</v>
      </c>
      <c r="J81" s="313">
        <f t="shared" si="73"/>
        <v>22.8</v>
      </c>
      <c r="K81" s="316">
        <v>508.4</v>
      </c>
      <c r="L81" s="316">
        <v>508.4</v>
      </c>
      <c r="M81" s="313">
        <f t="shared" si="74"/>
        <v>1016.8</v>
      </c>
      <c r="N81" s="313">
        <f t="shared" si="75"/>
        <v>0.064912512</v>
      </c>
      <c r="O81" s="316">
        <v>7820.0</v>
      </c>
      <c r="P81" s="313">
        <f t="shared" si="76"/>
        <v>507.6158438</v>
      </c>
      <c r="Q81" s="317"/>
      <c r="S81" s="319" t="s">
        <v>363</v>
      </c>
      <c r="T81" s="363" t="s">
        <v>446</v>
      </c>
      <c r="W81" s="312" t="s">
        <v>451</v>
      </c>
      <c r="X81" s="313"/>
      <c r="Y81" s="314">
        <v>3.0</v>
      </c>
      <c r="Z81" s="314">
        <v>-91.4</v>
      </c>
      <c r="AA81" s="314">
        <v>-68.6</v>
      </c>
      <c r="AB81" s="315">
        <f t="shared" si="77"/>
        <v>22.8</v>
      </c>
      <c r="AC81" s="316">
        <v>535.0</v>
      </c>
      <c r="AD81" s="316">
        <v>535.0</v>
      </c>
      <c r="AE81" s="313">
        <f t="shared" si="78"/>
        <v>1070</v>
      </c>
      <c r="AF81" s="316">
        <v>-570.2</v>
      </c>
      <c r="AG81" s="316">
        <v>-567.4</v>
      </c>
      <c r="AH81" s="313">
        <f t="shared" si="79"/>
        <v>2.8</v>
      </c>
      <c r="AI81" s="313">
        <f t="shared" si="80"/>
        <v>0.0683088</v>
      </c>
      <c r="AJ81" s="316">
        <v>7820.0</v>
      </c>
      <c r="AK81" s="313">
        <f t="shared" si="81"/>
        <v>534.174816</v>
      </c>
      <c r="AL81" s="317"/>
      <c r="AM81" s="158"/>
      <c r="AN81" s="158"/>
      <c r="AO81" s="158"/>
    </row>
    <row r="82">
      <c r="B82" s="323" t="s">
        <v>452</v>
      </c>
      <c r="C82" s="313"/>
      <c r="D82" s="316">
        <v>4.0</v>
      </c>
      <c r="E82" s="316">
        <f t="shared" si="71"/>
        <v>-570.2</v>
      </c>
      <c r="F82" s="316">
        <v>-567.4</v>
      </c>
      <c r="G82" s="315">
        <f t="shared" si="72"/>
        <v>2.8</v>
      </c>
      <c r="H82" s="316">
        <v>-91.4</v>
      </c>
      <c r="I82" s="316">
        <v>-68.6</v>
      </c>
      <c r="J82" s="313">
        <f t="shared" si="73"/>
        <v>22.8</v>
      </c>
      <c r="K82" s="316">
        <v>508.4</v>
      </c>
      <c r="L82" s="316">
        <v>508.4</v>
      </c>
      <c r="M82" s="313">
        <f t="shared" si="74"/>
        <v>1016.8</v>
      </c>
      <c r="N82" s="313">
        <f t="shared" si="75"/>
        <v>0.064912512</v>
      </c>
      <c r="O82" s="316">
        <v>7820.0</v>
      </c>
      <c r="P82" s="313">
        <f t="shared" si="76"/>
        <v>507.6158438</v>
      </c>
      <c r="Q82" s="317"/>
      <c r="S82" s="319" t="s">
        <v>365</v>
      </c>
      <c r="T82" s="363" t="s">
        <v>446</v>
      </c>
      <c r="W82" s="312" t="s">
        <v>453</v>
      </c>
      <c r="X82" s="313"/>
      <c r="Y82" s="314">
        <v>4.0</v>
      </c>
      <c r="Z82" s="314">
        <v>68.6</v>
      </c>
      <c r="AA82" s="314">
        <v>91.4</v>
      </c>
      <c r="AB82" s="315">
        <f t="shared" si="77"/>
        <v>22.8</v>
      </c>
      <c r="AC82" s="316">
        <v>535.0</v>
      </c>
      <c r="AD82" s="316">
        <v>535.0</v>
      </c>
      <c r="AE82" s="313">
        <f t="shared" si="78"/>
        <v>1070</v>
      </c>
      <c r="AF82" s="316">
        <v>-570.2</v>
      </c>
      <c r="AG82" s="316">
        <v>-567.4</v>
      </c>
      <c r="AH82" s="313">
        <f t="shared" si="79"/>
        <v>2.8</v>
      </c>
      <c r="AI82" s="313">
        <f t="shared" si="80"/>
        <v>0.0683088</v>
      </c>
      <c r="AJ82" s="316">
        <v>7820.0</v>
      </c>
      <c r="AK82" s="313">
        <f t="shared" si="81"/>
        <v>534.174816</v>
      </c>
      <c r="AL82" s="317"/>
      <c r="AM82" s="158"/>
      <c r="AN82" s="158"/>
      <c r="AO82" s="158"/>
    </row>
    <row r="83">
      <c r="B83" s="323" t="s">
        <v>454</v>
      </c>
      <c r="C83" s="313"/>
      <c r="D83" s="316">
        <v>5.0</v>
      </c>
      <c r="E83" s="316">
        <f t="shared" si="71"/>
        <v>-570.2</v>
      </c>
      <c r="F83" s="316">
        <v>-567.4</v>
      </c>
      <c r="G83" s="315">
        <f t="shared" si="72"/>
        <v>2.8</v>
      </c>
      <c r="H83" s="316">
        <v>-252.1</v>
      </c>
      <c r="I83" s="316">
        <v>-229.3</v>
      </c>
      <c r="J83" s="313">
        <f t="shared" si="73"/>
        <v>22.8</v>
      </c>
      <c r="K83" s="316">
        <v>508.4</v>
      </c>
      <c r="L83" s="316">
        <v>508.4</v>
      </c>
      <c r="M83" s="313">
        <f t="shared" si="74"/>
        <v>1016.8</v>
      </c>
      <c r="N83" s="313">
        <f t="shared" si="75"/>
        <v>0.064912512</v>
      </c>
      <c r="O83" s="316">
        <v>7820.0</v>
      </c>
      <c r="P83" s="313">
        <f t="shared" si="76"/>
        <v>507.6158438</v>
      </c>
      <c r="Q83" s="317"/>
      <c r="S83" s="319" t="s">
        <v>367</v>
      </c>
      <c r="T83" s="363" t="s">
        <v>446</v>
      </c>
      <c r="W83" s="312" t="s">
        <v>455</v>
      </c>
      <c r="X83" s="313"/>
      <c r="Y83" s="314">
        <v>5.0</v>
      </c>
      <c r="Z83" s="314">
        <v>228.6</v>
      </c>
      <c r="AA83" s="314">
        <v>251.4</v>
      </c>
      <c r="AB83" s="315">
        <f t="shared" si="77"/>
        <v>22.8</v>
      </c>
      <c r="AC83" s="316">
        <v>535.0</v>
      </c>
      <c r="AD83" s="316">
        <v>535.0</v>
      </c>
      <c r="AE83" s="313">
        <f t="shared" si="78"/>
        <v>1070</v>
      </c>
      <c r="AF83" s="316">
        <v>-570.2</v>
      </c>
      <c r="AG83" s="316">
        <v>-567.4</v>
      </c>
      <c r="AH83" s="313">
        <f t="shared" si="79"/>
        <v>2.8</v>
      </c>
      <c r="AI83" s="313">
        <f t="shared" si="80"/>
        <v>0.0683088</v>
      </c>
      <c r="AJ83" s="316">
        <v>7820.0</v>
      </c>
      <c r="AK83" s="313">
        <f t="shared" si="81"/>
        <v>534.174816</v>
      </c>
      <c r="AL83" s="317"/>
      <c r="AM83" s="158"/>
      <c r="AN83" s="158"/>
      <c r="AO83" s="158"/>
    </row>
    <row r="84">
      <c r="B84" s="323" t="s">
        <v>456</v>
      </c>
      <c r="C84" s="313"/>
      <c r="D84" s="316">
        <v>6.0</v>
      </c>
      <c r="E84" s="316">
        <f t="shared" si="71"/>
        <v>-570.2</v>
      </c>
      <c r="F84" s="316">
        <v>-567.4</v>
      </c>
      <c r="G84" s="315">
        <f t="shared" si="72"/>
        <v>2.8</v>
      </c>
      <c r="H84" s="316">
        <v>-411.4</v>
      </c>
      <c r="I84" s="316">
        <v>-388.6</v>
      </c>
      <c r="J84" s="313">
        <f t="shared" si="73"/>
        <v>22.8</v>
      </c>
      <c r="K84" s="316">
        <v>508.4</v>
      </c>
      <c r="L84" s="316">
        <v>508.4</v>
      </c>
      <c r="M84" s="313">
        <f t="shared" si="74"/>
        <v>1016.8</v>
      </c>
      <c r="N84" s="313">
        <f t="shared" si="75"/>
        <v>0.064912512</v>
      </c>
      <c r="O84" s="316">
        <v>7820.0</v>
      </c>
      <c r="P84" s="313">
        <f t="shared" si="76"/>
        <v>507.6158438</v>
      </c>
      <c r="Q84" s="317"/>
      <c r="S84" s="319" t="s">
        <v>369</v>
      </c>
      <c r="T84" s="363" t="s">
        <v>446</v>
      </c>
      <c r="U84" s="319"/>
      <c r="V84" s="319"/>
      <c r="W84" s="312" t="s">
        <v>457</v>
      </c>
      <c r="X84" s="313"/>
      <c r="Y84" s="314">
        <v>6.0</v>
      </c>
      <c r="Z84" s="314">
        <v>388.6</v>
      </c>
      <c r="AA84" s="314">
        <v>411.4</v>
      </c>
      <c r="AB84" s="315">
        <f t="shared" si="77"/>
        <v>22.8</v>
      </c>
      <c r="AC84" s="316">
        <v>535.0</v>
      </c>
      <c r="AD84" s="316">
        <v>535.0</v>
      </c>
      <c r="AE84" s="313">
        <f t="shared" si="78"/>
        <v>1070</v>
      </c>
      <c r="AF84" s="316">
        <v>-570.2</v>
      </c>
      <c r="AG84" s="316">
        <v>-567.4</v>
      </c>
      <c r="AH84" s="313">
        <f t="shared" si="79"/>
        <v>2.8</v>
      </c>
      <c r="AI84" s="313">
        <f t="shared" si="80"/>
        <v>0.0683088</v>
      </c>
      <c r="AJ84" s="316">
        <v>7820.0</v>
      </c>
      <c r="AK84" s="313">
        <f t="shared" si="81"/>
        <v>534.174816</v>
      </c>
      <c r="AL84" s="317"/>
      <c r="AM84" s="158"/>
      <c r="AN84" s="158"/>
      <c r="AO84" s="158"/>
    </row>
    <row r="85">
      <c r="B85" s="320"/>
      <c r="C85" s="313"/>
      <c r="D85" s="316" t="s">
        <v>294</v>
      </c>
      <c r="E85" s="313"/>
      <c r="F85" s="313"/>
      <c r="G85" s="313"/>
      <c r="H85" s="313"/>
      <c r="I85" s="313"/>
      <c r="J85" s="313"/>
      <c r="K85" s="313"/>
      <c r="L85" s="313"/>
      <c r="M85" s="313"/>
      <c r="N85" s="313">
        <f>SUM(N79:N84)</f>
        <v>0.389475072</v>
      </c>
      <c r="O85" s="313"/>
      <c r="P85" s="313">
        <f>SUM(P79:P84)</f>
        <v>3045.695063</v>
      </c>
      <c r="Q85" s="317"/>
      <c r="S85" s="321"/>
      <c r="T85" s="321"/>
      <c r="U85" s="321"/>
      <c r="V85" s="321"/>
      <c r="W85" s="320"/>
      <c r="X85" s="313"/>
      <c r="Y85" s="316" t="s">
        <v>294</v>
      </c>
      <c r="Z85" s="313"/>
      <c r="AA85" s="313"/>
      <c r="AB85" s="313"/>
      <c r="AC85" s="313"/>
      <c r="AD85" s="313"/>
      <c r="AE85" s="313"/>
      <c r="AF85" s="313"/>
      <c r="AG85" s="313"/>
      <c r="AH85" s="313"/>
      <c r="AI85" s="313">
        <f>SUM(AI79:AI84)</f>
        <v>0.4098528</v>
      </c>
      <c r="AJ85" s="313"/>
      <c r="AK85" s="313">
        <f>SUM(AK79:AK84)</f>
        <v>3205.048896</v>
      </c>
      <c r="AL85" s="317"/>
      <c r="AM85" s="158">
        <f>AI85+N85</f>
        <v>0.799327872</v>
      </c>
      <c r="AN85" s="158"/>
      <c r="AO85" s="158"/>
    </row>
    <row r="86">
      <c r="B86" s="324"/>
      <c r="C86" s="325"/>
      <c r="D86" s="325"/>
      <c r="E86" s="325"/>
      <c r="F86" s="325"/>
      <c r="G86" s="325"/>
      <c r="H86" s="325"/>
      <c r="I86" s="325"/>
      <c r="J86" s="325"/>
      <c r="K86" s="325"/>
      <c r="L86" s="325"/>
      <c r="M86" s="325"/>
      <c r="N86" s="325"/>
      <c r="O86" s="325"/>
      <c r="P86" s="325">
        <f>P85/1000</f>
        <v>3.045695063</v>
      </c>
      <c r="Q86" s="326" t="s">
        <v>371</v>
      </c>
      <c r="S86" s="321"/>
      <c r="T86" s="321"/>
      <c r="U86" s="321"/>
      <c r="V86" s="321"/>
      <c r="W86" s="324"/>
      <c r="X86" s="325"/>
      <c r="Y86" s="325"/>
      <c r="Z86" s="325"/>
      <c r="AA86" s="325"/>
      <c r="AB86" s="325"/>
      <c r="AC86" s="325"/>
      <c r="AD86" s="325"/>
      <c r="AE86" s="325"/>
      <c r="AF86" s="325"/>
      <c r="AG86" s="325"/>
      <c r="AH86" s="325"/>
      <c r="AI86" s="325"/>
      <c r="AJ86" s="325"/>
      <c r="AK86" s="325">
        <f>AK85/1000</f>
        <v>3.205048896</v>
      </c>
      <c r="AL86" s="326" t="s">
        <v>371</v>
      </c>
      <c r="AM86" s="307"/>
      <c r="AN86" s="307"/>
      <c r="AO86" s="307"/>
    </row>
    <row r="87">
      <c r="Q87" s="44"/>
      <c r="S87" s="321"/>
      <c r="T87" s="321"/>
      <c r="U87" s="321"/>
      <c r="V87" s="321"/>
      <c r="AM87" s="158"/>
      <c r="AN87" s="158"/>
      <c r="AO87" s="158"/>
    </row>
    <row r="88">
      <c r="B88" s="327" t="s">
        <v>330</v>
      </c>
      <c r="C88" s="328" t="s">
        <v>372</v>
      </c>
      <c r="D88" s="364" t="s">
        <v>431</v>
      </c>
      <c r="E88" s="328" t="s">
        <v>333</v>
      </c>
      <c r="F88" s="328" t="s">
        <v>334</v>
      </c>
      <c r="G88" s="328" t="s">
        <v>335</v>
      </c>
      <c r="H88" s="328" t="s">
        <v>336</v>
      </c>
      <c r="I88" s="328" t="s">
        <v>337</v>
      </c>
      <c r="J88" s="328" t="s">
        <v>338</v>
      </c>
      <c r="K88" s="328" t="s">
        <v>339</v>
      </c>
      <c r="L88" s="328" t="s">
        <v>340</v>
      </c>
      <c r="M88" s="328" t="s">
        <v>341</v>
      </c>
      <c r="N88" s="328" t="s">
        <v>235</v>
      </c>
      <c r="O88" s="328" t="s">
        <v>342</v>
      </c>
      <c r="P88" s="328" t="s">
        <v>229</v>
      </c>
      <c r="Q88" s="329"/>
      <c r="S88" s="321"/>
      <c r="T88" s="321"/>
      <c r="U88" s="321"/>
      <c r="V88" s="321"/>
      <c r="W88" s="327" t="s">
        <v>330</v>
      </c>
      <c r="X88" s="328" t="s">
        <v>372</v>
      </c>
      <c r="Y88" s="364" t="s">
        <v>431</v>
      </c>
      <c r="Z88" s="328" t="s">
        <v>333</v>
      </c>
      <c r="AA88" s="328" t="s">
        <v>334</v>
      </c>
      <c r="AB88" s="328" t="s">
        <v>335</v>
      </c>
      <c r="AC88" s="328" t="s">
        <v>336</v>
      </c>
      <c r="AD88" s="328" t="s">
        <v>337</v>
      </c>
      <c r="AE88" s="328" t="s">
        <v>338</v>
      </c>
      <c r="AF88" s="328" t="s">
        <v>339</v>
      </c>
      <c r="AG88" s="328" t="s">
        <v>340</v>
      </c>
      <c r="AH88" s="328" t="s">
        <v>341</v>
      </c>
      <c r="AI88" s="328" t="s">
        <v>235</v>
      </c>
      <c r="AJ88" s="328" t="s">
        <v>342</v>
      </c>
      <c r="AK88" s="328" t="s">
        <v>229</v>
      </c>
      <c r="AL88" s="329"/>
      <c r="AM88" s="158"/>
      <c r="AN88" s="158"/>
      <c r="AO88" s="158"/>
    </row>
    <row r="89">
      <c r="B89" s="330" t="s">
        <v>458</v>
      </c>
      <c r="C89" s="331"/>
      <c r="D89" s="332">
        <v>1.0</v>
      </c>
      <c r="E89" s="333">
        <v>508.4</v>
      </c>
      <c r="F89" s="333">
        <v>508.4</v>
      </c>
      <c r="G89" s="334">
        <f t="shared" ref="G89:G94" si="82">SUM(E89:F89)</f>
        <v>1016.8</v>
      </c>
      <c r="H89" s="332">
        <v>476.0</v>
      </c>
      <c r="I89" s="332">
        <v>478.8</v>
      </c>
      <c r="J89" s="331">
        <f t="shared" ref="J89:J94" si="83">I89-H89</f>
        <v>2.8</v>
      </c>
      <c r="K89" s="332">
        <v>-411.4</v>
      </c>
      <c r="L89" s="332">
        <v>-388.6</v>
      </c>
      <c r="M89" s="331">
        <f t="shared" ref="M89:M94" si="84">L89-K89</f>
        <v>22.8</v>
      </c>
      <c r="N89" s="331">
        <f t="shared" ref="N89:N94" si="85">(G89*J89*M89)/1000000</f>
        <v>0.064912512</v>
      </c>
      <c r="O89" s="332">
        <v>7820.0</v>
      </c>
      <c r="P89" s="331">
        <f t="shared" ref="P89:P94" si="86">N89*O89</f>
        <v>507.6158438</v>
      </c>
      <c r="Q89" s="335"/>
      <c r="S89" s="319" t="s">
        <v>374</v>
      </c>
      <c r="T89" s="319" t="s">
        <v>375</v>
      </c>
      <c r="W89" s="330" t="s">
        <v>459</v>
      </c>
      <c r="X89" s="331"/>
      <c r="Y89" s="332">
        <v>1.0</v>
      </c>
      <c r="Z89" s="333">
        <v>388.6</v>
      </c>
      <c r="AA89" s="333">
        <v>411.4</v>
      </c>
      <c r="AB89" s="334">
        <f t="shared" ref="AB89:AB94" si="87">AA89-Z89</f>
        <v>22.8</v>
      </c>
      <c r="AC89" s="332">
        <v>476.0</v>
      </c>
      <c r="AD89" s="332">
        <v>478.8</v>
      </c>
      <c r="AE89" s="331">
        <f t="shared" ref="AE89:AE94" si="88">AD89-AC89</f>
        <v>2.8</v>
      </c>
      <c r="AF89" s="332">
        <v>508.4</v>
      </c>
      <c r="AG89" s="332">
        <v>508.4</v>
      </c>
      <c r="AH89" s="331">
        <f t="shared" ref="AH89:AH94" si="89">AF89+AG89</f>
        <v>1016.8</v>
      </c>
      <c r="AI89" s="331">
        <f t="shared" ref="AI89:AI94" si="90">(AB89*AE89*AH89)/1000000</f>
        <v>0.064912512</v>
      </c>
      <c r="AJ89" s="332">
        <v>7820.0</v>
      </c>
      <c r="AK89" s="331">
        <f t="shared" ref="AK89:AK94" si="91">AI89*AJ89</f>
        <v>507.6158438</v>
      </c>
      <c r="AL89" s="335"/>
      <c r="AM89" s="158"/>
      <c r="AN89" s="158"/>
      <c r="AO89" s="158"/>
    </row>
    <row r="90">
      <c r="B90" s="330" t="s">
        <v>460</v>
      </c>
      <c r="C90" s="331"/>
      <c r="D90" s="332">
        <v>2.0</v>
      </c>
      <c r="E90" s="333">
        <v>508.4</v>
      </c>
      <c r="F90" s="333">
        <v>508.4</v>
      </c>
      <c r="G90" s="334">
        <f t="shared" si="82"/>
        <v>1016.8</v>
      </c>
      <c r="H90" s="332">
        <v>476.0</v>
      </c>
      <c r="I90" s="332">
        <v>478.8</v>
      </c>
      <c r="J90" s="331">
        <f t="shared" si="83"/>
        <v>2.8</v>
      </c>
      <c r="K90" s="332">
        <v>-251.4</v>
      </c>
      <c r="L90" s="332">
        <v>-228.6</v>
      </c>
      <c r="M90" s="331">
        <f t="shared" si="84"/>
        <v>22.8</v>
      </c>
      <c r="N90" s="331">
        <f t="shared" si="85"/>
        <v>0.064912512</v>
      </c>
      <c r="O90" s="332">
        <v>7820.0</v>
      </c>
      <c r="P90" s="331">
        <f t="shared" si="86"/>
        <v>507.6158438</v>
      </c>
      <c r="Q90" s="335"/>
      <c r="S90" s="319" t="s">
        <v>377</v>
      </c>
      <c r="T90" s="319" t="s">
        <v>375</v>
      </c>
      <c r="W90" s="330" t="s">
        <v>461</v>
      </c>
      <c r="X90" s="331"/>
      <c r="Y90" s="332">
        <v>2.0</v>
      </c>
      <c r="Z90" s="333">
        <v>228.6</v>
      </c>
      <c r="AA90" s="333">
        <v>251.4</v>
      </c>
      <c r="AB90" s="334">
        <f t="shared" si="87"/>
        <v>22.8</v>
      </c>
      <c r="AC90" s="332">
        <v>476.0</v>
      </c>
      <c r="AD90" s="332">
        <v>478.8</v>
      </c>
      <c r="AE90" s="331">
        <f t="shared" si="88"/>
        <v>2.8</v>
      </c>
      <c r="AF90" s="332">
        <v>508.4</v>
      </c>
      <c r="AG90" s="332">
        <v>508.4</v>
      </c>
      <c r="AH90" s="331">
        <f t="shared" si="89"/>
        <v>1016.8</v>
      </c>
      <c r="AI90" s="331">
        <f t="shared" si="90"/>
        <v>0.064912512</v>
      </c>
      <c r="AJ90" s="332">
        <v>7820.0</v>
      </c>
      <c r="AK90" s="331">
        <f t="shared" si="91"/>
        <v>507.6158438</v>
      </c>
      <c r="AL90" s="335"/>
      <c r="AM90" s="158"/>
      <c r="AN90" s="158"/>
      <c r="AO90" s="158"/>
    </row>
    <row r="91">
      <c r="B91" s="330" t="s">
        <v>462</v>
      </c>
      <c r="C91" s="331"/>
      <c r="D91" s="332">
        <v>3.0</v>
      </c>
      <c r="E91" s="333">
        <v>508.4</v>
      </c>
      <c r="F91" s="333">
        <v>508.4</v>
      </c>
      <c r="G91" s="334">
        <f t="shared" si="82"/>
        <v>1016.8</v>
      </c>
      <c r="H91" s="332">
        <v>476.0</v>
      </c>
      <c r="I91" s="332">
        <v>478.8</v>
      </c>
      <c r="J91" s="331">
        <f t="shared" si="83"/>
        <v>2.8</v>
      </c>
      <c r="K91" s="332">
        <v>-91.4</v>
      </c>
      <c r="L91" s="332">
        <v>-68.6</v>
      </c>
      <c r="M91" s="331">
        <f t="shared" si="84"/>
        <v>22.8</v>
      </c>
      <c r="N91" s="331">
        <f t="shared" si="85"/>
        <v>0.064912512</v>
      </c>
      <c r="O91" s="332">
        <v>7820.0</v>
      </c>
      <c r="P91" s="331">
        <f t="shared" si="86"/>
        <v>507.6158438</v>
      </c>
      <c r="Q91" s="335"/>
      <c r="S91" s="319" t="s">
        <v>379</v>
      </c>
      <c r="T91" s="319" t="s">
        <v>375</v>
      </c>
      <c r="W91" s="330" t="s">
        <v>463</v>
      </c>
      <c r="X91" s="331"/>
      <c r="Y91" s="332">
        <v>3.0</v>
      </c>
      <c r="Z91" s="333">
        <v>68.6</v>
      </c>
      <c r="AA91" s="333">
        <v>91.4</v>
      </c>
      <c r="AB91" s="334">
        <f t="shared" si="87"/>
        <v>22.8</v>
      </c>
      <c r="AC91" s="332">
        <v>476.0</v>
      </c>
      <c r="AD91" s="332">
        <v>478.8</v>
      </c>
      <c r="AE91" s="331">
        <f t="shared" si="88"/>
        <v>2.8</v>
      </c>
      <c r="AF91" s="332">
        <v>508.4</v>
      </c>
      <c r="AG91" s="332">
        <v>508.4</v>
      </c>
      <c r="AH91" s="331">
        <f t="shared" si="89"/>
        <v>1016.8</v>
      </c>
      <c r="AI91" s="331">
        <f t="shared" si="90"/>
        <v>0.064912512</v>
      </c>
      <c r="AJ91" s="332">
        <v>7820.0</v>
      </c>
      <c r="AK91" s="331">
        <f t="shared" si="91"/>
        <v>507.6158438</v>
      </c>
      <c r="AL91" s="335"/>
      <c r="AM91" s="158"/>
      <c r="AN91" s="158"/>
      <c r="AO91" s="158"/>
    </row>
    <row r="92">
      <c r="B92" s="330" t="s">
        <v>464</v>
      </c>
      <c r="C92" s="331"/>
      <c r="D92" s="332">
        <v>4.0</v>
      </c>
      <c r="E92" s="333">
        <v>508.4</v>
      </c>
      <c r="F92" s="333">
        <v>508.4</v>
      </c>
      <c r="G92" s="334">
        <f t="shared" si="82"/>
        <v>1016.8</v>
      </c>
      <c r="H92" s="332">
        <v>476.0</v>
      </c>
      <c r="I92" s="332">
        <v>478.8</v>
      </c>
      <c r="J92" s="331">
        <f t="shared" si="83"/>
        <v>2.8</v>
      </c>
      <c r="K92" s="332">
        <v>68.6</v>
      </c>
      <c r="L92" s="332">
        <v>91.4</v>
      </c>
      <c r="M92" s="331">
        <f t="shared" si="84"/>
        <v>22.8</v>
      </c>
      <c r="N92" s="331">
        <f t="shared" si="85"/>
        <v>0.064912512</v>
      </c>
      <c r="O92" s="332">
        <v>7820.0</v>
      </c>
      <c r="P92" s="331">
        <f t="shared" si="86"/>
        <v>507.6158438</v>
      </c>
      <c r="Q92" s="335"/>
      <c r="S92" s="319" t="s">
        <v>381</v>
      </c>
      <c r="T92" s="319" t="s">
        <v>375</v>
      </c>
      <c r="W92" s="330" t="s">
        <v>465</v>
      </c>
      <c r="X92" s="331"/>
      <c r="Y92" s="332">
        <v>4.0</v>
      </c>
      <c r="Z92" s="333">
        <v>-91.4</v>
      </c>
      <c r="AA92" s="333">
        <v>-68.6</v>
      </c>
      <c r="AB92" s="334">
        <f t="shared" si="87"/>
        <v>22.8</v>
      </c>
      <c r="AC92" s="332">
        <v>476.0</v>
      </c>
      <c r="AD92" s="332">
        <v>478.8</v>
      </c>
      <c r="AE92" s="331">
        <f t="shared" si="88"/>
        <v>2.8</v>
      </c>
      <c r="AF92" s="332">
        <v>508.4</v>
      </c>
      <c r="AG92" s="332">
        <v>508.4</v>
      </c>
      <c r="AH92" s="331">
        <f t="shared" si="89"/>
        <v>1016.8</v>
      </c>
      <c r="AI92" s="331">
        <f t="shared" si="90"/>
        <v>0.064912512</v>
      </c>
      <c r="AJ92" s="332">
        <v>7820.0</v>
      </c>
      <c r="AK92" s="331">
        <f t="shared" si="91"/>
        <v>507.6158438</v>
      </c>
      <c r="AL92" s="335"/>
      <c r="AM92" s="158"/>
      <c r="AN92" s="158"/>
      <c r="AO92" s="158"/>
    </row>
    <row r="93">
      <c r="B93" s="330" t="s">
        <v>466</v>
      </c>
      <c r="C93" s="331"/>
      <c r="D93" s="332">
        <v>5.0</v>
      </c>
      <c r="E93" s="333">
        <v>508.4</v>
      </c>
      <c r="F93" s="333">
        <v>508.4</v>
      </c>
      <c r="G93" s="334">
        <f t="shared" si="82"/>
        <v>1016.8</v>
      </c>
      <c r="H93" s="332">
        <v>476.0</v>
      </c>
      <c r="I93" s="332">
        <v>478.8</v>
      </c>
      <c r="J93" s="331">
        <f t="shared" si="83"/>
        <v>2.8</v>
      </c>
      <c r="K93" s="332">
        <v>228.6</v>
      </c>
      <c r="L93" s="332">
        <v>251.4</v>
      </c>
      <c r="M93" s="331">
        <f t="shared" si="84"/>
        <v>22.8</v>
      </c>
      <c r="N93" s="331">
        <f t="shared" si="85"/>
        <v>0.064912512</v>
      </c>
      <c r="O93" s="332">
        <v>7820.0</v>
      </c>
      <c r="P93" s="331">
        <f t="shared" si="86"/>
        <v>507.6158438</v>
      </c>
      <c r="Q93" s="335"/>
      <c r="S93" s="319" t="s">
        <v>383</v>
      </c>
      <c r="T93" s="319" t="s">
        <v>375</v>
      </c>
      <c r="W93" s="330" t="s">
        <v>467</v>
      </c>
      <c r="X93" s="331"/>
      <c r="Y93" s="332">
        <v>5.0</v>
      </c>
      <c r="Z93" s="333">
        <v>-252.1</v>
      </c>
      <c r="AA93" s="333">
        <v>-229.3</v>
      </c>
      <c r="AB93" s="334">
        <f t="shared" si="87"/>
        <v>22.8</v>
      </c>
      <c r="AC93" s="332">
        <v>476.0</v>
      </c>
      <c r="AD93" s="332">
        <v>478.8</v>
      </c>
      <c r="AE93" s="331">
        <f t="shared" si="88"/>
        <v>2.8</v>
      </c>
      <c r="AF93" s="332">
        <v>508.4</v>
      </c>
      <c r="AG93" s="332">
        <v>508.4</v>
      </c>
      <c r="AH93" s="331">
        <f t="shared" si="89"/>
        <v>1016.8</v>
      </c>
      <c r="AI93" s="331">
        <f t="shared" si="90"/>
        <v>0.064912512</v>
      </c>
      <c r="AJ93" s="332">
        <v>7820.0</v>
      </c>
      <c r="AK93" s="331">
        <f t="shared" si="91"/>
        <v>507.6158438</v>
      </c>
      <c r="AL93" s="335"/>
      <c r="AM93" s="158"/>
      <c r="AN93" s="158"/>
      <c r="AO93" s="158"/>
    </row>
    <row r="94">
      <c r="B94" s="330" t="s">
        <v>468</v>
      </c>
      <c r="C94" s="331"/>
      <c r="D94" s="332">
        <v>6.0</v>
      </c>
      <c r="E94" s="333">
        <v>508.4</v>
      </c>
      <c r="F94" s="333">
        <v>508.4</v>
      </c>
      <c r="G94" s="334">
        <f t="shared" si="82"/>
        <v>1016.8</v>
      </c>
      <c r="H94" s="332">
        <v>476.0</v>
      </c>
      <c r="I94" s="332">
        <v>478.8</v>
      </c>
      <c r="J94" s="331">
        <f t="shared" si="83"/>
        <v>2.8</v>
      </c>
      <c r="K94" s="332">
        <v>388.6</v>
      </c>
      <c r="L94" s="332">
        <v>411.4</v>
      </c>
      <c r="M94" s="331">
        <f t="shared" si="84"/>
        <v>22.8</v>
      </c>
      <c r="N94" s="331">
        <f t="shared" si="85"/>
        <v>0.064912512</v>
      </c>
      <c r="O94" s="332">
        <v>7820.0</v>
      </c>
      <c r="P94" s="331">
        <f t="shared" si="86"/>
        <v>507.6158438</v>
      </c>
      <c r="Q94" s="335"/>
      <c r="S94" s="319" t="s">
        <v>385</v>
      </c>
      <c r="T94" s="319" t="s">
        <v>375</v>
      </c>
      <c r="W94" s="330" t="s">
        <v>469</v>
      </c>
      <c r="X94" s="331"/>
      <c r="Y94" s="332">
        <v>6.0</v>
      </c>
      <c r="Z94" s="333">
        <v>-411.4</v>
      </c>
      <c r="AA94" s="333">
        <v>-388.6</v>
      </c>
      <c r="AB94" s="334">
        <f t="shared" si="87"/>
        <v>22.8</v>
      </c>
      <c r="AC94" s="332">
        <v>476.0</v>
      </c>
      <c r="AD94" s="332">
        <v>478.8</v>
      </c>
      <c r="AE94" s="331">
        <f t="shared" si="88"/>
        <v>2.8</v>
      </c>
      <c r="AF94" s="332">
        <v>508.4</v>
      </c>
      <c r="AG94" s="332">
        <v>508.4</v>
      </c>
      <c r="AH94" s="331">
        <f t="shared" si="89"/>
        <v>1016.8</v>
      </c>
      <c r="AI94" s="331">
        <f t="shared" si="90"/>
        <v>0.064912512</v>
      </c>
      <c r="AJ94" s="332">
        <v>7820.0</v>
      </c>
      <c r="AK94" s="331">
        <f t="shared" si="91"/>
        <v>507.6158438</v>
      </c>
      <c r="AL94" s="335"/>
      <c r="AM94" s="158"/>
      <c r="AN94" s="158"/>
      <c r="AO94" s="158"/>
    </row>
    <row r="95">
      <c r="B95" s="336"/>
      <c r="C95" s="331"/>
      <c r="D95" s="332" t="s">
        <v>294</v>
      </c>
      <c r="E95" s="331"/>
      <c r="F95" s="331"/>
      <c r="G95" s="331"/>
      <c r="H95" s="331"/>
      <c r="I95" s="331"/>
      <c r="J95" s="331"/>
      <c r="K95" s="331"/>
      <c r="L95" s="331"/>
      <c r="M95" s="331"/>
      <c r="N95" s="331">
        <f>SUM(N89:N94)</f>
        <v>0.389475072</v>
      </c>
      <c r="O95" s="331"/>
      <c r="P95" s="331">
        <f>SUM(P89:P94)</f>
        <v>3045.695063</v>
      </c>
      <c r="Q95" s="335"/>
      <c r="S95" s="321"/>
      <c r="T95" s="321"/>
      <c r="U95" s="321"/>
      <c r="V95" s="321"/>
      <c r="W95" s="336"/>
      <c r="X95" s="331"/>
      <c r="Y95" s="332" t="s">
        <v>294</v>
      </c>
      <c r="Z95" s="331"/>
      <c r="AA95" s="331"/>
      <c r="AB95" s="331"/>
      <c r="AC95" s="331"/>
      <c r="AD95" s="331"/>
      <c r="AE95" s="331"/>
      <c r="AF95" s="331"/>
      <c r="AG95" s="331"/>
      <c r="AH95" s="331"/>
      <c r="AI95" s="331">
        <f>SUM(AI89:AI94)</f>
        <v>0.389475072</v>
      </c>
      <c r="AJ95" s="331"/>
      <c r="AK95" s="331">
        <f>SUM(AK89:AK94)</f>
        <v>3045.695063</v>
      </c>
      <c r="AL95" s="335"/>
      <c r="AM95" s="158">
        <f>AI95+N95</f>
        <v>0.778950144</v>
      </c>
      <c r="AN95" s="158"/>
      <c r="AO95" s="158"/>
    </row>
    <row r="96">
      <c r="B96" s="336"/>
      <c r="C96" s="331"/>
      <c r="D96" s="331"/>
      <c r="E96" s="331"/>
      <c r="F96" s="331"/>
      <c r="G96" s="331"/>
      <c r="H96" s="331"/>
      <c r="I96" s="331"/>
      <c r="J96" s="331"/>
      <c r="K96" s="331"/>
      <c r="L96" s="331"/>
      <c r="M96" s="331"/>
      <c r="N96" s="331"/>
      <c r="O96" s="331"/>
      <c r="P96" s="331">
        <f>P95/1000</f>
        <v>3.045695063</v>
      </c>
      <c r="Q96" s="337" t="s">
        <v>371</v>
      </c>
      <c r="S96" s="321"/>
      <c r="T96" s="321"/>
      <c r="U96" s="321"/>
      <c r="V96" s="321"/>
      <c r="W96" s="336"/>
      <c r="X96" s="331"/>
      <c r="Y96" s="331"/>
      <c r="Z96" s="331"/>
      <c r="AA96" s="331"/>
      <c r="AB96" s="331"/>
      <c r="AC96" s="331"/>
      <c r="AD96" s="331"/>
      <c r="AE96" s="331"/>
      <c r="AF96" s="331"/>
      <c r="AG96" s="331"/>
      <c r="AH96" s="331"/>
      <c r="AI96" s="331"/>
      <c r="AJ96" s="331"/>
      <c r="AK96" s="331">
        <f>AK95/1000</f>
        <v>3.045695063</v>
      </c>
      <c r="AL96" s="337" t="s">
        <v>371</v>
      </c>
      <c r="AM96" s="307"/>
      <c r="AN96" s="307"/>
      <c r="AO96" s="307"/>
    </row>
    <row r="97">
      <c r="B97" s="336"/>
      <c r="C97" s="331"/>
      <c r="D97" s="331"/>
      <c r="E97" s="331"/>
      <c r="F97" s="331"/>
      <c r="G97" s="331"/>
      <c r="H97" s="331"/>
      <c r="I97" s="331"/>
      <c r="J97" s="331"/>
      <c r="K97" s="331"/>
      <c r="L97" s="331"/>
      <c r="M97" s="331"/>
      <c r="N97" s="331"/>
      <c r="O97" s="331"/>
      <c r="P97" s="331"/>
      <c r="Q97" s="337"/>
      <c r="S97" s="321"/>
      <c r="T97" s="321"/>
      <c r="U97" s="321"/>
      <c r="V97" s="321"/>
      <c r="W97" s="336"/>
      <c r="X97" s="331"/>
      <c r="Y97" s="331"/>
      <c r="Z97" s="331"/>
      <c r="AA97" s="331"/>
      <c r="AB97" s="331"/>
      <c r="AC97" s="331"/>
      <c r="AD97" s="331"/>
      <c r="AE97" s="331"/>
      <c r="AF97" s="331"/>
      <c r="AG97" s="331"/>
      <c r="AH97" s="331"/>
      <c r="AI97" s="331"/>
      <c r="AJ97" s="331"/>
      <c r="AK97" s="331"/>
      <c r="AL97" s="337"/>
      <c r="AM97" s="307"/>
      <c r="AN97" s="307"/>
      <c r="AO97" s="307"/>
    </row>
    <row r="98">
      <c r="B98" s="338" t="s">
        <v>330</v>
      </c>
      <c r="C98" s="332" t="s">
        <v>386</v>
      </c>
      <c r="D98" s="362" t="s">
        <v>431</v>
      </c>
      <c r="E98" s="332" t="s">
        <v>333</v>
      </c>
      <c r="F98" s="332" t="s">
        <v>334</v>
      </c>
      <c r="G98" s="332" t="s">
        <v>335</v>
      </c>
      <c r="H98" s="332" t="s">
        <v>336</v>
      </c>
      <c r="I98" s="332" t="s">
        <v>337</v>
      </c>
      <c r="J98" s="332" t="s">
        <v>338</v>
      </c>
      <c r="K98" s="332" t="s">
        <v>339</v>
      </c>
      <c r="L98" s="332" t="s">
        <v>340</v>
      </c>
      <c r="M98" s="332" t="s">
        <v>341</v>
      </c>
      <c r="N98" s="332" t="s">
        <v>235</v>
      </c>
      <c r="O98" s="332" t="s">
        <v>342</v>
      </c>
      <c r="P98" s="332" t="s">
        <v>229</v>
      </c>
      <c r="Q98" s="335"/>
      <c r="S98" s="321"/>
      <c r="T98" s="321"/>
      <c r="U98" s="321"/>
      <c r="V98" s="321"/>
      <c r="W98" s="338" t="s">
        <v>330</v>
      </c>
      <c r="X98" s="332" t="s">
        <v>386</v>
      </c>
      <c r="Y98" s="362" t="s">
        <v>431</v>
      </c>
      <c r="Z98" s="332" t="s">
        <v>333</v>
      </c>
      <c r="AA98" s="332" t="s">
        <v>334</v>
      </c>
      <c r="AB98" s="332" t="s">
        <v>335</v>
      </c>
      <c r="AC98" s="332" t="s">
        <v>336</v>
      </c>
      <c r="AD98" s="332" t="s">
        <v>337</v>
      </c>
      <c r="AE98" s="332" t="s">
        <v>338</v>
      </c>
      <c r="AF98" s="332" t="s">
        <v>339</v>
      </c>
      <c r="AG98" s="332" t="s">
        <v>340</v>
      </c>
      <c r="AH98" s="332" t="s">
        <v>341</v>
      </c>
      <c r="AI98" s="332" t="s">
        <v>235</v>
      </c>
      <c r="AJ98" s="332" t="s">
        <v>342</v>
      </c>
      <c r="AK98" s="332" t="s">
        <v>229</v>
      </c>
      <c r="AL98" s="335"/>
      <c r="AM98" s="158"/>
      <c r="AN98" s="158"/>
      <c r="AO98" s="158"/>
    </row>
    <row r="99">
      <c r="B99" s="330" t="s">
        <v>470</v>
      </c>
      <c r="C99" s="331"/>
      <c r="D99" s="332">
        <v>1.0</v>
      </c>
      <c r="E99" s="333">
        <v>-570.2</v>
      </c>
      <c r="F99" s="333">
        <v>-570.2</v>
      </c>
      <c r="G99" s="334">
        <f t="shared" ref="G99:G104" si="92">-E99-F99</f>
        <v>1140.4</v>
      </c>
      <c r="H99" s="332">
        <v>-537.8</v>
      </c>
      <c r="I99" s="332">
        <v>-535.0</v>
      </c>
      <c r="J99" s="331">
        <f t="shared" ref="J99:J104" si="93">I99-H99</f>
        <v>2.8</v>
      </c>
      <c r="K99" s="332">
        <v>-411.4</v>
      </c>
      <c r="L99" s="332">
        <v>-388.6</v>
      </c>
      <c r="M99" s="331">
        <f t="shared" ref="M99:M104" si="94">L99-K99</f>
        <v>22.8</v>
      </c>
      <c r="N99" s="331">
        <f t="shared" ref="N99:N104" si="95">(G99*J99*M99)/1000000</f>
        <v>0.072803136</v>
      </c>
      <c r="O99" s="332">
        <v>7820.0</v>
      </c>
      <c r="P99" s="331">
        <f t="shared" ref="P99:P104" si="96">N99*O99</f>
        <v>569.3205235</v>
      </c>
      <c r="Q99" s="335"/>
      <c r="S99" s="319" t="s">
        <v>388</v>
      </c>
      <c r="T99" s="319" t="s">
        <v>389</v>
      </c>
      <c r="W99" s="330" t="s">
        <v>471</v>
      </c>
      <c r="X99" s="331"/>
      <c r="Y99" s="332">
        <v>1.0</v>
      </c>
      <c r="Z99" s="333">
        <v>388.6</v>
      </c>
      <c r="AA99" s="333">
        <v>411.4</v>
      </c>
      <c r="AB99" s="334">
        <f t="shared" ref="AB99:AB104" si="97">AA99-Z99</f>
        <v>22.8</v>
      </c>
      <c r="AC99" s="332">
        <v>-537.8</v>
      </c>
      <c r="AD99" s="332">
        <v>-535.0</v>
      </c>
      <c r="AE99" s="331">
        <f t="shared" ref="AE99:AE104" si="98">AD99-AC99</f>
        <v>2.8</v>
      </c>
      <c r="AF99" s="333">
        <v>-570.2</v>
      </c>
      <c r="AG99" s="333">
        <v>-570.2</v>
      </c>
      <c r="AH99" s="334">
        <f t="shared" ref="AH99:AH104" si="99">-AF99-AG99</f>
        <v>1140.4</v>
      </c>
      <c r="AI99" s="331">
        <f t="shared" ref="AI99:AI104" si="100">(AB99*AE99*AH99)/1000000</f>
        <v>0.072803136</v>
      </c>
      <c r="AJ99" s="332">
        <v>7820.0</v>
      </c>
      <c r="AK99" s="331">
        <f t="shared" ref="AK99:AK104" si="101">AI99*AJ99</f>
        <v>569.3205235</v>
      </c>
      <c r="AL99" s="335"/>
      <c r="AM99" s="158"/>
      <c r="AN99" s="158"/>
      <c r="AO99" s="158"/>
    </row>
    <row r="100">
      <c r="B100" s="330" t="s">
        <v>472</v>
      </c>
      <c r="C100" s="331"/>
      <c r="D100" s="332">
        <v>2.0</v>
      </c>
      <c r="E100" s="333">
        <v>-570.2</v>
      </c>
      <c r="F100" s="333">
        <v>-570.2</v>
      </c>
      <c r="G100" s="334">
        <f t="shared" si="92"/>
        <v>1140.4</v>
      </c>
      <c r="H100" s="332">
        <v>-537.8</v>
      </c>
      <c r="I100" s="332">
        <v>-535.0</v>
      </c>
      <c r="J100" s="331">
        <f t="shared" si="93"/>
        <v>2.8</v>
      </c>
      <c r="K100" s="332">
        <v>-251.4</v>
      </c>
      <c r="L100" s="332">
        <v>-228.6</v>
      </c>
      <c r="M100" s="331">
        <f t="shared" si="94"/>
        <v>22.8</v>
      </c>
      <c r="N100" s="331">
        <f t="shared" si="95"/>
        <v>0.072803136</v>
      </c>
      <c r="O100" s="332">
        <v>7820.0</v>
      </c>
      <c r="P100" s="331">
        <f t="shared" si="96"/>
        <v>569.3205235</v>
      </c>
      <c r="Q100" s="335"/>
      <c r="S100" s="319" t="s">
        <v>391</v>
      </c>
      <c r="T100" s="319" t="s">
        <v>389</v>
      </c>
      <c r="W100" s="330" t="s">
        <v>473</v>
      </c>
      <c r="X100" s="331"/>
      <c r="Y100" s="332">
        <v>2.0</v>
      </c>
      <c r="Z100" s="333">
        <v>228.6</v>
      </c>
      <c r="AA100" s="333">
        <v>251.4</v>
      </c>
      <c r="AB100" s="334">
        <f t="shared" si="97"/>
        <v>22.8</v>
      </c>
      <c r="AC100" s="332">
        <v>-537.8</v>
      </c>
      <c r="AD100" s="332">
        <v>-535.0</v>
      </c>
      <c r="AE100" s="331">
        <f t="shared" si="98"/>
        <v>2.8</v>
      </c>
      <c r="AF100" s="333">
        <v>-570.2</v>
      </c>
      <c r="AG100" s="333">
        <v>-570.2</v>
      </c>
      <c r="AH100" s="334">
        <f t="shared" si="99"/>
        <v>1140.4</v>
      </c>
      <c r="AI100" s="331">
        <f t="shared" si="100"/>
        <v>0.072803136</v>
      </c>
      <c r="AJ100" s="332">
        <v>7820.0</v>
      </c>
      <c r="AK100" s="331">
        <f t="shared" si="101"/>
        <v>569.3205235</v>
      </c>
      <c r="AL100" s="335"/>
      <c r="AM100" s="158"/>
      <c r="AN100" s="158"/>
      <c r="AO100" s="158"/>
    </row>
    <row r="101">
      <c r="B101" s="330" t="s">
        <v>474</v>
      </c>
      <c r="C101" s="331"/>
      <c r="D101" s="332">
        <v>3.0</v>
      </c>
      <c r="E101" s="333">
        <v>-570.2</v>
      </c>
      <c r="F101" s="333">
        <v>-570.2</v>
      </c>
      <c r="G101" s="334">
        <f t="shared" si="92"/>
        <v>1140.4</v>
      </c>
      <c r="H101" s="332">
        <v>-537.8</v>
      </c>
      <c r="I101" s="332">
        <v>-535.0</v>
      </c>
      <c r="J101" s="331">
        <f t="shared" si="93"/>
        <v>2.8</v>
      </c>
      <c r="K101" s="332">
        <v>-91.4</v>
      </c>
      <c r="L101" s="332">
        <v>-68.6</v>
      </c>
      <c r="M101" s="331">
        <f t="shared" si="94"/>
        <v>22.8</v>
      </c>
      <c r="N101" s="331">
        <f t="shared" si="95"/>
        <v>0.072803136</v>
      </c>
      <c r="O101" s="332">
        <v>7820.0</v>
      </c>
      <c r="P101" s="331">
        <f t="shared" si="96"/>
        <v>569.3205235</v>
      </c>
      <c r="Q101" s="335"/>
      <c r="S101" s="319" t="s">
        <v>393</v>
      </c>
      <c r="T101" s="319" t="s">
        <v>389</v>
      </c>
      <c r="W101" s="330" t="s">
        <v>475</v>
      </c>
      <c r="X101" s="331"/>
      <c r="Y101" s="332">
        <v>3.0</v>
      </c>
      <c r="Z101" s="333">
        <v>68.6</v>
      </c>
      <c r="AA101" s="333">
        <v>91.4</v>
      </c>
      <c r="AB101" s="334">
        <f t="shared" si="97"/>
        <v>22.8</v>
      </c>
      <c r="AC101" s="332">
        <v>-537.8</v>
      </c>
      <c r="AD101" s="332">
        <v>-535.0</v>
      </c>
      <c r="AE101" s="331">
        <f t="shared" si="98"/>
        <v>2.8</v>
      </c>
      <c r="AF101" s="333">
        <v>-570.2</v>
      </c>
      <c r="AG101" s="333">
        <v>-570.2</v>
      </c>
      <c r="AH101" s="334">
        <f t="shared" si="99"/>
        <v>1140.4</v>
      </c>
      <c r="AI101" s="331">
        <f t="shared" si="100"/>
        <v>0.072803136</v>
      </c>
      <c r="AJ101" s="332">
        <v>7820.0</v>
      </c>
      <c r="AK101" s="331">
        <f t="shared" si="101"/>
        <v>569.3205235</v>
      </c>
      <c r="AL101" s="335"/>
      <c r="AM101" s="158"/>
      <c r="AN101" s="158"/>
      <c r="AO101" s="158"/>
    </row>
    <row r="102">
      <c r="B102" s="330" t="s">
        <v>476</v>
      </c>
      <c r="C102" s="331"/>
      <c r="D102" s="332">
        <v>4.0</v>
      </c>
      <c r="E102" s="333">
        <v>-570.2</v>
      </c>
      <c r="F102" s="333">
        <v>-570.2</v>
      </c>
      <c r="G102" s="334">
        <f t="shared" si="92"/>
        <v>1140.4</v>
      </c>
      <c r="H102" s="332">
        <v>-537.8</v>
      </c>
      <c r="I102" s="332">
        <v>-535.0</v>
      </c>
      <c r="J102" s="331">
        <f t="shared" si="93"/>
        <v>2.8</v>
      </c>
      <c r="K102" s="332">
        <v>68.6</v>
      </c>
      <c r="L102" s="332">
        <v>91.4</v>
      </c>
      <c r="M102" s="331">
        <f t="shared" si="94"/>
        <v>22.8</v>
      </c>
      <c r="N102" s="331">
        <f t="shared" si="95"/>
        <v>0.072803136</v>
      </c>
      <c r="O102" s="332">
        <v>7820.0</v>
      </c>
      <c r="P102" s="331">
        <f t="shared" si="96"/>
        <v>569.3205235</v>
      </c>
      <c r="Q102" s="335"/>
      <c r="S102" s="319" t="s">
        <v>395</v>
      </c>
      <c r="T102" s="319" t="s">
        <v>389</v>
      </c>
      <c r="W102" s="330" t="s">
        <v>477</v>
      </c>
      <c r="X102" s="331"/>
      <c r="Y102" s="332">
        <v>4.0</v>
      </c>
      <c r="Z102" s="333">
        <v>-91.4</v>
      </c>
      <c r="AA102" s="333">
        <v>-68.6</v>
      </c>
      <c r="AB102" s="334">
        <f t="shared" si="97"/>
        <v>22.8</v>
      </c>
      <c r="AC102" s="332">
        <v>-537.8</v>
      </c>
      <c r="AD102" s="332">
        <v>-535.0</v>
      </c>
      <c r="AE102" s="331">
        <f t="shared" si="98"/>
        <v>2.8</v>
      </c>
      <c r="AF102" s="333">
        <v>-570.2</v>
      </c>
      <c r="AG102" s="333">
        <v>-570.2</v>
      </c>
      <c r="AH102" s="334">
        <f t="shared" si="99"/>
        <v>1140.4</v>
      </c>
      <c r="AI102" s="331">
        <f t="shared" si="100"/>
        <v>0.072803136</v>
      </c>
      <c r="AJ102" s="332">
        <v>7820.0</v>
      </c>
      <c r="AK102" s="331">
        <f t="shared" si="101"/>
        <v>569.3205235</v>
      </c>
      <c r="AL102" s="335"/>
      <c r="AM102" s="158"/>
      <c r="AN102" s="158"/>
      <c r="AO102" s="158"/>
    </row>
    <row r="103">
      <c r="B103" s="330" t="s">
        <v>478</v>
      </c>
      <c r="C103" s="331"/>
      <c r="D103" s="332">
        <v>5.0</v>
      </c>
      <c r="E103" s="333">
        <v>-570.2</v>
      </c>
      <c r="F103" s="333">
        <v>-570.2</v>
      </c>
      <c r="G103" s="334">
        <f t="shared" si="92"/>
        <v>1140.4</v>
      </c>
      <c r="H103" s="332">
        <v>-537.8</v>
      </c>
      <c r="I103" s="332">
        <v>-535.0</v>
      </c>
      <c r="J103" s="331">
        <f t="shared" si="93"/>
        <v>2.8</v>
      </c>
      <c r="K103" s="332">
        <v>228.6</v>
      </c>
      <c r="L103" s="332">
        <v>251.4</v>
      </c>
      <c r="M103" s="331">
        <f t="shared" si="94"/>
        <v>22.8</v>
      </c>
      <c r="N103" s="331">
        <f t="shared" si="95"/>
        <v>0.072803136</v>
      </c>
      <c r="O103" s="332">
        <v>7820.0</v>
      </c>
      <c r="P103" s="331">
        <f t="shared" si="96"/>
        <v>569.3205235</v>
      </c>
      <c r="Q103" s="335"/>
      <c r="S103" s="319" t="s">
        <v>397</v>
      </c>
      <c r="T103" s="319" t="s">
        <v>389</v>
      </c>
      <c r="W103" s="330" t="s">
        <v>479</v>
      </c>
      <c r="X103" s="331"/>
      <c r="Y103" s="332">
        <v>5.0</v>
      </c>
      <c r="Z103" s="333">
        <v>-252.1</v>
      </c>
      <c r="AA103" s="333">
        <v>-229.3</v>
      </c>
      <c r="AB103" s="334">
        <f t="shared" si="97"/>
        <v>22.8</v>
      </c>
      <c r="AC103" s="332">
        <v>-537.8</v>
      </c>
      <c r="AD103" s="332">
        <v>-535.0</v>
      </c>
      <c r="AE103" s="331">
        <f t="shared" si="98"/>
        <v>2.8</v>
      </c>
      <c r="AF103" s="333">
        <v>-570.2</v>
      </c>
      <c r="AG103" s="333">
        <v>-570.2</v>
      </c>
      <c r="AH103" s="334">
        <f t="shared" si="99"/>
        <v>1140.4</v>
      </c>
      <c r="AI103" s="331">
        <f t="shared" si="100"/>
        <v>0.072803136</v>
      </c>
      <c r="AJ103" s="332">
        <v>7820.0</v>
      </c>
      <c r="AK103" s="331">
        <f t="shared" si="101"/>
        <v>569.3205235</v>
      </c>
      <c r="AL103" s="335"/>
      <c r="AM103" s="158"/>
      <c r="AN103" s="158"/>
      <c r="AO103" s="158"/>
    </row>
    <row r="104">
      <c r="B104" s="330" t="s">
        <v>480</v>
      </c>
      <c r="C104" s="331"/>
      <c r="D104" s="332">
        <v>6.0</v>
      </c>
      <c r="E104" s="333">
        <v>-570.2</v>
      </c>
      <c r="F104" s="333">
        <v>-570.2</v>
      </c>
      <c r="G104" s="334">
        <f t="shared" si="92"/>
        <v>1140.4</v>
      </c>
      <c r="H104" s="332">
        <v>-537.8</v>
      </c>
      <c r="I104" s="332">
        <v>-535.0</v>
      </c>
      <c r="J104" s="331">
        <f t="shared" si="93"/>
        <v>2.8</v>
      </c>
      <c r="K104" s="332">
        <v>388.6</v>
      </c>
      <c r="L104" s="332">
        <v>411.4</v>
      </c>
      <c r="M104" s="331">
        <f t="shared" si="94"/>
        <v>22.8</v>
      </c>
      <c r="N104" s="331">
        <f t="shared" si="95"/>
        <v>0.072803136</v>
      </c>
      <c r="O104" s="332">
        <v>7820.0</v>
      </c>
      <c r="P104" s="331">
        <f t="shared" si="96"/>
        <v>569.3205235</v>
      </c>
      <c r="Q104" s="335"/>
      <c r="S104" s="319" t="s">
        <v>399</v>
      </c>
      <c r="T104" s="319" t="s">
        <v>389</v>
      </c>
      <c r="W104" s="330" t="s">
        <v>481</v>
      </c>
      <c r="X104" s="331"/>
      <c r="Y104" s="332">
        <v>6.0</v>
      </c>
      <c r="Z104" s="333">
        <v>-411.4</v>
      </c>
      <c r="AA104" s="333">
        <v>-388.6</v>
      </c>
      <c r="AB104" s="334">
        <f t="shared" si="97"/>
        <v>22.8</v>
      </c>
      <c r="AC104" s="332">
        <v>-537.8</v>
      </c>
      <c r="AD104" s="332">
        <v>-535.0</v>
      </c>
      <c r="AE104" s="331">
        <f t="shared" si="98"/>
        <v>2.8</v>
      </c>
      <c r="AF104" s="333">
        <v>-570.2</v>
      </c>
      <c r="AG104" s="333">
        <v>-570.2</v>
      </c>
      <c r="AH104" s="334">
        <f t="shared" si="99"/>
        <v>1140.4</v>
      </c>
      <c r="AI104" s="331">
        <f t="shared" si="100"/>
        <v>0.072803136</v>
      </c>
      <c r="AJ104" s="332">
        <v>7820.0</v>
      </c>
      <c r="AK104" s="331">
        <f t="shared" si="101"/>
        <v>569.3205235</v>
      </c>
      <c r="AL104" s="335"/>
      <c r="AM104" s="158"/>
      <c r="AN104" s="158"/>
      <c r="AO104" s="158"/>
    </row>
    <row r="105">
      <c r="B105" s="336"/>
      <c r="C105" s="331"/>
      <c r="D105" s="332" t="s">
        <v>294</v>
      </c>
      <c r="E105" s="331"/>
      <c r="F105" s="331"/>
      <c r="G105" s="331"/>
      <c r="H105" s="331"/>
      <c r="I105" s="331"/>
      <c r="J105" s="331"/>
      <c r="K105" s="331"/>
      <c r="L105" s="331"/>
      <c r="M105" s="331"/>
      <c r="N105" s="331">
        <f>SUM(N99:N104)</f>
        <v>0.436818816</v>
      </c>
      <c r="O105" s="331"/>
      <c r="P105" s="331">
        <f>SUM(P99:P104)</f>
        <v>3415.923141</v>
      </c>
      <c r="Q105" s="335"/>
      <c r="S105" s="321"/>
      <c r="T105" s="321"/>
      <c r="U105" s="321"/>
      <c r="V105" s="321"/>
      <c r="W105" s="336"/>
      <c r="X105" s="331"/>
      <c r="Y105" s="332" t="s">
        <v>294</v>
      </c>
      <c r="Z105" s="331"/>
      <c r="AA105" s="331"/>
      <c r="AB105" s="331"/>
      <c r="AC105" s="331"/>
      <c r="AD105" s="331"/>
      <c r="AE105" s="331"/>
      <c r="AF105" s="331"/>
      <c r="AG105" s="331"/>
      <c r="AH105" s="331"/>
      <c r="AI105" s="331">
        <f>SUM(AI99:AI104)</f>
        <v>0.436818816</v>
      </c>
      <c r="AJ105" s="331"/>
      <c r="AK105" s="331">
        <f>SUM(AK99:AK104)</f>
        <v>3415.923141</v>
      </c>
      <c r="AL105" s="335"/>
      <c r="AM105" s="158">
        <f>AI105+N105</f>
        <v>0.873637632</v>
      </c>
      <c r="AN105" s="158"/>
      <c r="AO105" s="158"/>
    </row>
    <row r="106">
      <c r="B106" s="339"/>
      <c r="C106" s="340"/>
      <c r="D106" s="340"/>
      <c r="E106" s="340"/>
      <c r="F106" s="340"/>
      <c r="G106" s="340"/>
      <c r="H106" s="340"/>
      <c r="I106" s="340"/>
      <c r="J106" s="340"/>
      <c r="K106" s="340"/>
      <c r="L106" s="340"/>
      <c r="M106" s="340"/>
      <c r="N106" s="340"/>
      <c r="O106" s="340"/>
      <c r="P106" s="340">
        <f>P105/1000</f>
        <v>3.415923141</v>
      </c>
      <c r="Q106" s="341" t="s">
        <v>371</v>
      </c>
      <c r="S106" s="321"/>
      <c r="T106" s="321"/>
      <c r="U106" s="321"/>
      <c r="V106" s="321"/>
      <c r="W106" s="339"/>
      <c r="X106" s="340"/>
      <c r="Y106" s="340"/>
      <c r="Z106" s="340"/>
      <c r="AA106" s="340"/>
      <c r="AB106" s="340"/>
      <c r="AC106" s="340"/>
      <c r="AD106" s="340"/>
      <c r="AE106" s="340"/>
      <c r="AF106" s="340"/>
      <c r="AG106" s="340"/>
      <c r="AH106" s="340"/>
      <c r="AI106" s="340"/>
      <c r="AJ106" s="340"/>
      <c r="AK106" s="340">
        <f>AK105/1000</f>
        <v>3.415923141</v>
      </c>
      <c r="AL106" s="341" t="s">
        <v>371</v>
      </c>
      <c r="AM106" s="307"/>
      <c r="AN106" s="307"/>
      <c r="AO106" s="307"/>
    </row>
    <row r="107">
      <c r="S107" s="321"/>
      <c r="T107" s="321"/>
      <c r="U107" s="321"/>
      <c r="V107" s="321"/>
      <c r="AM107" s="158"/>
      <c r="AN107" s="158"/>
      <c r="AO107" s="158"/>
    </row>
    <row r="108">
      <c r="B108" s="342" t="s">
        <v>330</v>
      </c>
      <c r="C108" s="343" t="s">
        <v>400</v>
      </c>
      <c r="D108" s="362" t="s">
        <v>431</v>
      </c>
      <c r="E108" s="343" t="s">
        <v>333</v>
      </c>
      <c r="F108" s="343" t="s">
        <v>334</v>
      </c>
      <c r="G108" s="343" t="s">
        <v>335</v>
      </c>
      <c r="H108" s="343" t="s">
        <v>336</v>
      </c>
      <c r="I108" s="343" t="s">
        <v>337</v>
      </c>
      <c r="J108" s="343" t="s">
        <v>338</v>
      </c>
      <c r="K108" s="343" t="s">
        <v>339</v>
      </c>
      <c r="L108" s="343" t="s">
        <v>340</v>
      </c>
      <c r="M108" s="343" t="s">
        <v>341</v>
      </c>
      <c r="N108" s="343" t="s">
        <v>235</v>
      </c>
      <c r="O108" s="343" t="s">
        <v>342</v>
      </c>
      <c r="P108" s="343" t="s">
        <v>229</v>
      </c>
      <c r="Q108" s="344"/>
      <c r="S108" s="319" t="s">
        <v>401</v>
      </c>
      <c r="T108" s="319" t="s">
        <v>402</v>
      </c>
      <c r="U108" s="321"/>
      <c r="V108" s="321"/>
      <c r="W108" s="342" t="s">
        <v>330</v>
      </c>
      <c r="X108" s="343" t="s">
        <v>400</v>
      </c>
      <c r="Y108" s="364" t="s">
        <v>431</v>
      </c>
      <c r="Z108" s="343" t="s">
        <v>333</v>
      </c>
      <c r="AA108" s="343" t="s">
        <v>334</v>
      </c>
      <c r="AB108" s="343" t="s">
        <v>335</v>
      </c>
      <c r="AC108" s="343" t="s">
        <v>336</v>
      </c>
      <c r="AD108" s="343" t="s">
        <v>337</v>
      </c>
      <c r="AE108" s="343" t="s">
        <v>338</v>
      </c>
      <c r="AF108" s="343" t="s">
        <v>339</v>
      </c>
      <c r="AG108" s="343" t="s">
        <v>340</v>
      </c>
      <c r="AH108" s="343" t="s">
        <v>341</v>
      </c>
      <c r="AI108" s="343" t="s">
        <v>235</v>
      </c>
      <c r="AJ108" s="343" t="s">
        <v>342</v>
      </c>
      <c r="AK108" s="343" t="s">
        <v>229</v>
      </c>
      <c r="AL108" s="344"/>
      <c r="AM108" s="158"/>
      <c r="AN108" s="158"/>
      <c r="AO108" s="158"/>
    </row>
    <row r="109">
      <c r="B109" s="345" t="s">
        <v>482</v>
      </c>
      <c r="C109" s="346"/>
      <c r="D109" s="347">
        <v>1.0</v>
      </c>
      <c r="E109" s="348">
        <v>567.4</v>
      </c>
      <c r="F109" s="348">
        <v>570.2</v>
      </c>
      <c r="G109" s="349">
        <f t="shared" ref="G109:G114" si="102">F109-E109</f>
        <v>2.8</v>
      </c>
      <c r="H109" s="347">
        <v>535.0</v>
      </c>
      <c r="I109" s="347">
        <v>535.0</v>
      </c>
      <c r="J109" s="346">
        <f t="shared" ref="J109:J114" si="103">I109+H109</f>
        <v>1070</v>
      </c>
      <c r="K109" s="347">
        <v>388.6</v>
      </c>
      <c r="L109" s="347">
        <v>411.4</v>
      </c>
      <c r="M109" s="346">
        <f t="shared" ref="M109:M114" si="104">L109-K109</f>
        <v>22.8</v>
      </c>
      <c r="N109" s="346">
        <f t="shared" ref="N109:N114" si="105">(G109*J109*M109)/1000000</f>
        <v>0.0683088</v>
      </c>
      <c r="O109" s="347">
        <v>7820.0</v>
      </c>
      <c r="P109" s="346">
        <f t="shared" ref="P109:P114" si="106">N109*O109</f>
        <v>534.174816</v>
      </c>
      <c r="Q109" s="350"/>
      <c r="S109" s="319" t="s">
        <v>404</v>
      </c>
      <c r="T109" s="319" t="s">
        <v>405</v>
      </c>
      <c r="W109" s="345" t="s">
        <v>483</v>
      </c>
      <c r="X109" s="346"/>
      <c r="Y109" s="347">
        <v>1.0</v>
      </c>
      <c r="Z109" s="348">
        <v>567.4</v>
      </c>
      <c r="AA109" s="348">
        <v>570.2</v>
      </c>
      <c r="AB109" s="349">
        <f t="shared" ref="AB109:AB114" si="107">AA109-Z109</f>
        <v>2.8</v>
      </c>
      <c r="AC109" s="347">
        <v>388.6</v>
      </c>
      <c r="AD109" s="347">
        <v>411.4</v>
      </c>
      <c r="AE109" s="346">
        <f t="shared" ref="AE109:AE114" si="108">AD109-AC109</f>
        <v>22.8</v>
      </c>
      <c r="AF109" s="347">
        <v>508.4</v>
      </c>
      <c r="AG109" s="347">
        <v>508.4</v>
      </c>
      <c r="AH109" s="346">
        <f t="shared" ref="AH109:AH114" si="109">SUM(AF109:AG109)</f>
        <v>1016.8</v>
      </c>
      <c r="AI109" s="346">
        <f t="shared" ref="AI109:AI114" si="110">(AB109*AE109*AH109)/1000000</f>
        <v>0.064912512</v>
      </c>
      <c r="AJ109" s="347">
        <v>7820.0</v>
      </c>
      <c r="AK109" s="346">
        <f t="shared" ref="AK109:AK114" si="111">AI109*AJ109</f>
        <v>507.6158438</v>
      </c>
      <c r="AL109" s="350"/>
      <c r="AM109" s="158"/>
      <c r="AN109" s="158"/>
      <c r="AO109" s="158"/>
    </row>
    <row r="110">
      <c r="B110" s="345" t="s">
        <v>484</v>
      </c>
      <c r="C110" s="346"/>
      <c r="D110" s="347">
        <v>2.0</v>
      </c>
      <c r="E110" s="348">
        <v>567.4</v>
      </c>
      <c r="F110" s="348">
        <v>570.2</v>
      </c>
      <c r="G110" s="349">
        <f t="shared" si="102"/>
        <v>2.8</v>
      </c>
      <c r="H110" s="347">
        <v>535.0</v>
      </c>
      <c r="I110" s="347">
        <v>535.0</v>
      </c>
      <c r="J110" s="346">
        <f t="shared" si="103"/>
        <v>1070</v>
      </c>
      <c r="K110" s="347">
        <v>228.6</v>
      </c>
      <c r="L110" s="347">
        <v>251.4</v>
      </c>
      <c r="M110" s="346">
        <f t="shared" si="104"/>
        <v>22.8</v>
      </c>
      <c r="N110" s="346">
        <f t="shared" si="105"/>
        <v>0.0683088</v>
      </c>
      <c r="O110" s="347">
        <v>7820.0</v>
      </c>
      <c r="P110" s="346">
        <f t="shared" si="106"/>
        <v>534.174816</v>
      </c>
      <c r="Q110" s="350"/>
      <c r="S110" s="319" t="s">
        <v>407</v>
      </c>
      <c r="T110" s="351" t="s">
        <v>405</v>
      </c>
      <c r="U110" s="321"/>
      <c r="V110" s="321"/>
      <c r="W110" s="345" t="s">
        <v>485</v>
      </c>
      <c r="X110" s="346"/>
      <c r="Y110" s="347">
        <v>2.0</v>
      </c>
      <c r="Z110" s="348">
        <v>567.4</v>
      </c>
      <c r="AA110" s="348">
        <v>570.2</v>
      </c>
      <c r="AB110" s="349">
        <f t="shared" si="107"/>
        <v>2.8</v>
      </c>
      <c r="AC110" s="347">
        <v>228.6</v>
      </c>
      <c r="AD110" s="347">
        <v>251.4</v>
      </c>
      <c r="AE110" s="346">
        <f t="shared" si="108"/>
        <v>22.8</v>
      </c>
      <c r="AF110" s="347">
        <v>508.4</v>
      </c>
      <c r="AG110" s="347">
        <v>508.4</v>
      </c>
      <c r="AH110" s="346">
        <f t="shared" si="109"/>
        <v>1016.8</v>
      </c>
      <c r="AI110" s="346">
        <f t="shared" si="110"/>
        <v>0.064912512</v>
      </c>
      <c r="AJ110" s="347">
        <v>7820.0</v>
      </c>
      <c r="AK110" s="346">
        <f t="shared" si="111"/>
        <v>507.6158438</v>
      </c>
      <c r="AL110" s="350"/>
      <c r="AM110" s="158"/>
      <c r="AN110" s="158"/>
      <c r="AO110" s="158"/>
    </row>
    <row r="111">
      <c r="B111" s="345" t="s">
        <v>486</v>
      </c>
      <c r="C111" s="346"/>
      <c r="D111" s="347">
        <v>3.0</v>
      </c>
      <c r="E111" s="348">
        <v>567.4</v>
      </c>
      <c r="F111" s="348">
        <v>570.2</v>
      </c>
      <c r="G111" s="349">
        <f t="shared" si="102"/>
        <v>2.8</v>
      </c>
      <c r="H111" s="347">
        <v>535.0</v>
      </c>
      <c r="I111" s="347">
        <v>535.0</v>
      </c>
      <c r="J111" s="346">
        <f t="shared" si="103"/>
        <v>1070</v>
      </c>
      <c r="K111" s="347">
        <v>68.6</v>
      </c>
      <c r="L111" s="347">
        <v>91.4</v>
      </c>
      <c r="M111" s="346">
        <f t="shared" si="104"/>
        <v>22.8</v>
      </c>
      <c r="N111" s="346">
        <f t="shared" si="105"/>
        <v>0.0683088</v>
      </c>
      <c r="O111" s="347">
        <v>7820.0</v>
      </c>
      <c r="P111" s="346">
        <f t="shared" si="106"/>
        <v>534.174816</v>
      </c>
      <c r="Q111" s="350"/>
      <c r="S111" s="319" t="s">
        <v>409</v>
      </c>
      <c r="T111" s="351" t="s">
        <v>405</v>
      </c>
      <c r="U111" s="321"/>
      <c r="V111" s="321"/>
      <c r="W111" s="345" t="s">
        <v>487</v>
      </c>
      <c r="X111" s="346"/>
      <c r="Y111" s="347">
        <v>3.0</v>
      </c>
      <c r="Z111" s="348">
        <v>567.4</v>
      </c>
      <c r="AA111" s="348">
        <v>570.2</v>
      </c>
      <c r="AB111" s="349">
        <f t="shared" si="107"/>
        <v>2.8</v>
      </c>
      <c r="AC111" s="347">
        <v>68.6</v>
      </c>
      <c r="AD111" s="347">
        <v>91.4</v>
      </c>
      <c r="AE111" s="346">
        <f t="shared" si="108"/>
        <v>22.8</v>
      </c>
      <c r="AF111" s="347">
        <v>508.4</v>
      </c>
      <c r="AG111" s="347">
        <v>508.4</v>
      </c>
      <c r="AH111" s="346">
        <f t="shared" si="109"/>
        <v>1016.8</v>
      </c>
      <c r="AI111" s="346">
        <f t="shared" si="110"/>
        <v>0.064912512</v>
      </c>
      <c r="AJ111" s="347">
        <v>7820.0</v>
      </c>
      <c r="AK111" s="346">
        <f t="shared" si="111"/>
        <v>507.6158438</v>
      </c>
      <c r="AL111" s="350"/>
      <c r="AM111" s="158"/>
      <c r="AN111" s="158"/>
      <c r="AO111" s="158"/>
    </row>
    <row r="112">
      <c r="B112" s="345" t="s">
        <v>488</v>
      </c>
      <c r="C112" s="346"/>
      <c r="D112" s="347">
        <v>4.0</v>
      </c>
      <c r="E112" s="348">
        <v>567.4</v>
      </c>
      <c r="F112" s="348">
        <v>570.2</v>
      </c>
      <c r="G112" s="349">
        <f t="shared" si="102"/>
        <v>2.8</v>
      </c>
      <c r="H112" s="347">
        <v>535.0</v>
      </c>
      <c r="I112" s="347">
        <v>535.0</v>
      </c>
      <c r="J112" s="346">
        <f t="shared" si="103"/>
        <v>1070</v>
      </c>
      <c r="K112" s="347">
        <v>-91.4</v>
      </c>
      <c r="L112" s="347">
        <v>-68.6</v>
      </c>
      <c r="M112" s="346">
        <f t="shared" si="104"/>
        <v>22.8</v>
      </c>
      <c r="N112" s="346">
        <f t="shared" si="105"/>
        <v>0.0683088</v>
      </c>
      <c r="O112" s="347">
        <v>7820.0</v>
      </c>
      <c r="P112" s="346">
        <f t="shared" si="106"/>
        <v>534.174816</v>
      </c>
      <c r="Q112" s="350"/>
      <c r="S112" s="319" t="s">
        <v>411</v>
      </c>
      <c r="T112" s="351" t="s">
        <v>405</v>
      </c>
      <c r="U112" s="321"/>
      <c r="V112" s="321"/>
      <c r="W112" s="345" t="s">
        <v>489</v>
      </c>
      <c r="X112" s="346"/>
      <c r="Y112" s="347">
        <v>4.0</v>
      </c>
      <c r="Z112" s="348">
        <v>567.4</v>
      </c>
      <c r="AA112" s="348">
        <v>570.2</v>
      </c>
      <c r="AB112" s="349">
        <f t="shared" si="107"/>
        <v>2.8</v>
      </c>
      <c r="AC112" s="347">
        <v>-91.4</v>
      </c>
      <c r="AD112" s="347">
        <v>-68.6</v>
      </c>
      <c r="AE112" s="346">
        <f t="shared" si="108"/>
        <v>22.8</v>
      </c>
      <c r="AF112" s="347">
        <v>508.4</v>
      </c>
      <c r="AG112" s="347">
        <v>508.4</v>
      </c>
      <c r="AH112" s="346">
        <f t="shared" si="109"/>
        <v>1016.8</v>
      </c>
      <c r="AI112" s="346">
        <f t="shared" si="110"/>
        <v>0.064912512</v>
      </c>
      <c r="AJ112" s="347">
        <v>7820.0</v>
      </c>
      <c r="AK112" s="346">
        <f t="shared" si="111"/>
        <v>507.6158438</v>
      </c>
      <c r="AL112" s="350"/>
      <c r="AM112" s="158"/>
      <c r="AN112" s="158"/>
      <c r="AO112" s="158"/>
    </row>
    <row r="113">
      <c r="B113" s="345" t="s">
        <v>490</v>
      </c>
      <c r="C113" s="346"/>
      <c r="D113" s="347">
        <v>5.0</v>
      </c>
      <c r="E113" s="348">
        <v>567.4</v>
      </c>
      <c r="F113" s="348">
        <v>570.2</v>
      </c>
      <c r="G113" s="349">
        <f t="shared" si="102"/>
        <v>2.8</v>
      </c>
      <c r="H113" s="347">
        <v>535.0</v>
      </c>
      <c r="I113" s="347">
        <v>535.0</v>
      </c>
      <c r="J113" s="346">
        <f t="shared" si="103"/>
        <v>1070</v>
      </c>
      <c r="K113" s="347">
        <v>-251.4</v>
      </c>
      <c r="L113" s="347">
        <v>-228.6</v>
      </c>
      <c r="M113" s="346">
        <f t="shared" si="104"/>
        <v>22.8</v>
      </c>
      <c r="N113" s="346">
        <f t="shared" si="105"/>
        <v>0.0683088</v>
      </c>
      <c r="O113" s="347">
        <v>7820.0</v>
      </c>
      <c r="P113" s="346">
        <f t="shared" si="106"/>
        <v>534.174816</v>
      </c>
      <c r="Q113" s="350"/>
      <c r="S113" s="319" t="s">
        <v>413</v>
      </c>
      <c r="T113" s="351" t="s">
        <v>405</v>
      </c>
      <c r="U113" s="321"/>
      <c r="V113" s="321"/>
      <c r="W113" s="345" t="s">
        <v>491</v>
      </c>
      <c r="X113" s="346"/>
      <c r="Y113" s="347">
        <v>5.0</v>
      </c>
      <c r="Z113" s="348">
        <v>567.4</v>
      </c>
      <c r="AA113" s="348">
        <v>570.2</v>
      </c>
      <c r="AB113" s="349">
        <f t="shared" si="107"/>
        <v>2.8</v>
      </c>
      <c r="AC113" s="347">
        <v>-252.1</v>
      </c>
      <c r="AD113" s="347">
        <v>-229.3</v>
      </c>
      <c r="AE113" s="346">
        <f t="shared" si="108"/>
        <v>22.8</v>
      </c>
      <c r="AF113" s="347">
        <v>508.4</v>
      </c>
      <c r="AG113" s="347">
        <v>508.4</v>
      </c>
      <c r="AH113" s="346">
        <f t="shared" si="109"/>
        <v>1016.8</v>
      </c>
      <c r="AI113" s="346">
        <f t="shared" si="110"/>
        <v>0.064912512</v>
      </c>
      <c r="AJ113" s="347">
        <v>7820.0</v>
      </c>
      <c r="AK113" s="346">
        <f t="shared" si="111"/>
        <v>507.6158438</v>
      </c>
      <c r="AL113" s="350"/>
      <c r="AM113" s="158"/>
      <c r="AN113" s="158"/>
      <c r="AO113" s="158"/>
    </row>
    <row r="114">
      <c r="B114" s="345" t="s">
        <v>492</v>
      </c>
      <c r="C114" s="346"/>
      <c r="D114" s="347">
        <v>6.0</v>
      </c>
      <c r="E114" s="348">
        <v>567.4</v>
      </c>
      <c r="F114" s="348">
        <v>570.2</v>
      </c>
      <c r="G114" s="349">
        <f t="shared" si="102"/>
        <v>2.8</v>
      </c>
      <c r="H114" s="347">
        <v>535.0</v>
      </c>
      <c r="I114" s="347">
        <v>535.0</v>
      </c>
      <c r="J114" s="346">
        <f t="shared" si="103"/>
        <v>1070</v>
      </c>
      <c r="K114" s="347">
        <v>-411.4</v>
      </c>
      <c r="L114" s="347">
        <v>-388.6</v>
      </c>
      <c r="M114" s="346">
        <f t="shared" si="104"/>
        <v>22.8</v>
      </c>
      <c r="N114" s="346">
        <f t="shared" si="105"/>
        <v>0.0683088</v>
      </c>
      <c r="O114" s="347">
        <v>7820.0</v>
      </c>
      <c r="P114" s="346">
        <f t="shared" si="106"/>
        <v>534.174816</v>
      </c>
      <c r="Q114" s="350"/>
      <c r="S114" s="319" t="s">
        <v>415</v>
      </c>
      <c r="T114" s="351" t="s">
        <v>405</v>
      </c>
      <c r="U114" s="321"/>
      <c r="V114" s="321"/>
      <c r="W114" s="345" t="s">
        <v>493</v>
      </c>
      <c r="X114" s="346"/>
      <c r="Y114" s="347">
        <v>6.0</v>
      </c>
      <c r="Z114" s="348">
        <v>567.4</v>
      </c>
      <c r="AA114" s="348">
        <v>570.2</v>
      </c>
      <c r="AB114" s="349">
        <f t="shared" si="107"/>
        <v>2.8</v>
      </c>
      <c r="AC114" s="347">
        <v>-411.4</v>
      </c>
      <c r="AD114" s="347">
        <v>-388.6</v>
      </c>
      <c r="AE114" s="346">
        <f t="shared" si="108"/>
        <v>22.8</v>
      </c>
      <c r="AF114" s="347">
        <v>508.4</v>
      </c>
      <c r="AG114" s="347">
        <v>508.4</v>
      </c>
      <c r="AH114" s="346">
        <f t="shared" si="109"/>
        <v>1016.8</v>
      </c>
      <c r="AI114" s="346">
        <f t="shared" si="110"/>
        <v>0.064912512</v>
      </c>
      <c r="AJ114" s="347">
        <v>7820.0</v>
      </c>
      <c r="AK114" s="346">
        <f t="shared" si="111"/>
        <v>507.6158438</v>
      </c>
      <c r="AL114" s="350"/>
      <c r="AM114" s="158"/>
      <c r="AN114" s="158"/>
      <c r="AO114" s="158"/>
    </row>
    <row r="115">
      <c r="B115" s="352"/>
      <c r="C115" s="346"/>
      <c r="D115" s="347" t="s">
        <v>294</v>
      </c>
      <c r="E115" s="346"/>
      <c r="F115" s="346"/>
      <c r="G115" s="346"/>
      <c r="H115" s="346"/>
      <c r="I115" s="346"/>
      <c r="J115" s="346"/>
      <c r="K115" s="346"/>
      <c r="L115" s="346"/>
      <c r="M115" s="346"/>
      <c r="N115" s="346">
        <f>SUM(N109:N114)</f>
        <v>0.4098528</v>
      </c>
      <c r="O115" s="346"/>
      <c r="P115" s="346">
        <f>SUM(P109:P114)</f>
        <v>3205.048896</v>
      </c>
      <c r="Q115" s="350"/>
      <c r="S115" s="321"/>
      <c r="T115" s="321"/>
      <c r="U115" s="321"/>
      <c r="V115" s="321"/>
      <c r="W115" s="352"/>
      <c r="X115" s="346"/>
      <c r="Y115" s="347" t="s">
        <v>294</v>
      </c>
      <c r="Z115" s="346"/>
      <c r="AA115" s="346"/>
      <c r="AB115" s="346"/>
      <c r="AC115" s="346"/>
      <c r="AD115" s="346"/>
      <c r="AE115" s="346"/>
      <c r="AF115" s="346"/>
      <c r="AG115" s="346"/>
      <c r="AH115" s="346"/>
      <c r="AI115" s="346">
        <f>SUM(AI109:AI114)</f>
        <v>0.389475072</v>
      </c>
      <c r="AJ115" s="346"/>
      <c r="AK115" s="346">
        <f>SUM(AK109:AK114)</f>
        <v>3045.695063</v>
      </c>
      <c r="AL115" s="350"/>
      <c r="AM115" s="158">
        <f>AI115+N115</f>
        <v>0.799327872</v>
      </c>
      <c r="AN115" s="158"/>
      <c r="AO115" s="158"/>
    </row>
    <row r="116">
      <c r="B116" s="352"/>
      <c r="C116" s="346"/>
      <c r="D116" s="346"/>
      <c r="E116" s="346"/>
      <c r="F116" s="346"/>
      <c r="G116" s="346"/>
      <c r="H116" s="346"/>
      <c r="I116" s="346"/>
      <c r="J116" s="346"/>
      <c r="K116" s="346"/>
      <c r="L116" s="346"/>
      <c r="M116" s="346"/>
      <c r="N116" s="346"/>
      <c r="O116" s="346"/>
      <c r="P116" s="346">
        <f>P115/1000</f>
        <v>3.205048896</v>
      </c>
      <c r="Q116" s="353" t="s">
        <v>371</v>
      </c>
      <c r="S116" s="321"/>
      <c r="T116" s="321"/>
      <c r="U116" s="321"/>
      <c r="V116" s="321"/>
      <c r="W116" s="352"/>
      <c r="X116" s="346"/>
      <c r="Y116" s="346"/>
      <c r="Z116" s="346"/>
      <c r="AA116" s="346"/>
      <c r="AB116" s="346"/>
      <c r="AC116" s="346"/>
      <c r="AD116" s="346"/>
      <c r="AE116" s="346"/>
      <c r="AF116" s="346"/>
      <c r="AG116" s="346"/>
      <c r="AH116" s="346"/>
      <c r="AI116" s="346"/>
      <c r="AJ116" s="346"/>
      <c r="AK116" s="346">
        <f>AK115/1000</f>
        <v>3.045695063</v>
      </c>
      <c r="AL116" s="353" t="s">
        <v>371</v>
      </c>
      <c r="AM116" s="307"/>
      <c r="AN116" s="307"/>
      <c r="AO116" s="307"/>
    </row>
    <row r="117">
      <c r="B117" s="352"/>
      <c r="C117" s="346"/>
      <c r="D117" s="346"/>
      <c r="E117" s="346"/>
      <c r="F117" s="346"/>
      <c r="G117" s="346"/>
      <c r="H117" s="346"/>
      <c r="I117" s="346"/>
      <c r="J117" s="346"/>
      <c r="K117" s="346"/>
      <c r="L117" s="346"/>
      <c r="M117" s="346"/>
      <c r="N117" s="346"/>
      <c r="O117" s="346"/>
      <c r="P117" s="346"/>
      <c r="Q117" s="353"/>
      <c r="S117" s="321"/>
      <c r="T117" s="321"/>
      <c r="U117" s="321"/>
      <c r="V117" s="321"/>
      <c r="W117" s="352"/>
      <c r="X117" s="346"/>
      <c r="Y117" s="346"/>
      <c r="Z117" s="346"/>
      <c r="AA117" s="346"/>
      <c r="AB117" s="346"/>
      <c r="AC117" s="346"/>
      <c r="AD117" s="346"/>
      <c r="AE117" s="346"/>
      <c r="AF117" s="346"/>
      <c r="AG117" s="346"/>
      <c r="AH117" s="346"/>
      <c r="AI117" s="346"/>
      <c r="AJ117" s="346"/>
      <c r="AK117" s="346"/>
      <c r="AL117" s="353"/>
      <c r="AM117" s="307"/>
      <c r="AN117" s="307"/>
      <c r="AO117" s="307"/>
    </row>
    <row r="118">
      <c r="B118" s="354" t="s">
        <v>330</v>
      </c>
      <c r="C118" s="347" t="s">
        <v>416</v>
      </c>
      <c r="D118" s="362" t="s">
        <v>431</v>
      </c>
      <c r="E118" s="347" t="s">
        <v>333</v>
      </c>
      <c r="F118" s="347" t="s">
        <v>334</v>
      </c>
      <c r="G118" s="347" t="s">
        <v>335</v>
      </c>
      <c r="H118" s="347" t="s">
        <v>336</v>
      </c>
      <c r="I118" s="347" t="s">
        <v>337</v>
      </c>
      <c r="J118" s="347" t="s">
        <v>338</v>
      </c>
      <c r="K118" s="347" t="s">
        <v>339</v>
      </c>
      <c r="L118" s="347" t="s">
        <v>340</v>
      </c>
      <c r="M118" s="347" t="s">
        <v>341</v>
      </c>
      <c r="N118" s="347" t="s">
        <v>235</v>
      </c>
      <c r="O118" s="347" t="s">
        <v>342</v>
      </c>
      <c r="P118" s="347" t="s">
        <v>229</v>
      </c>
      <c r="Q118" s="350"/>
      <c r="S118" s="321"/>
      <c r="T118" s="321"/>
      <c r="U118" s="321"/>
      <c r="V118" s="321"/>
      <c r="W118" s="354" t="s">
        <v>330</v>
      </c>
      <c r="X118" s="347" t="s">
        <v>416</v>
      </c>
      <c r="Y118" s="362" t="s">
        <v>431</v>
      </c>
      <c r="Z118" s="347" t="s">
        <v>333</v>
      </c>
      <c r="AA118" s="347" t="s">
        <v>334</v>
      </c>
      <c r="AB118" s="347" t="s">
        <v>335</v>
      </c>
      <c r="AC118" s="347" t="s">
        <v>336</v>
      </c>
      <c r="AD118" s="347" t="s">
        <v>337</v>
      </c>
      <c r="AE118" s="347" t="s">
        <v>338</v>
      </c>
      <c r="AF118" s="347" t="s">
        <v>339</v>
      </c>
      <c r="AG118" s="347" t="s">
        <v>340</v>
      </c>
      <c r="AH118" s="347" t="s">
        <v>341</v>
      </c>
      <c r="AI118" s="347" t="s">
        <v>235</v>
      </c>
      <c r="AJ118" s="347" t="s">
        <v>342</v>
      </c>
      <c r="AK118" s="347" t="s">
        <v>229</v>
      </c>
      <c r="AL118" s="350"/>
      <c r="AM118" s="158"/>
      <c r="AN118" s="158"/>
      <c r="AO118" s="158"/>
    </row>
    <row r="119">
      <c r="B119" s="345" t="s">
        <v>494</v>
      </c>
      <c r="C119" s="346"/>
      <c r="D119" s="347">
        <v>1.0</v>
      </c>
      <c r="E119" s="348">
        <v>570.2</v>
      </c>
      <c r="F119" s="348">
        <v>567.4</v>
      </c>
      <c r="G119" s="349">
        <f t="shared" ref="G119:G124" si="112">E119-F119</f>
        <v>2.8</v>
      </c>
      <c r="H119" s="347">
        <v>-535.0</v>
      </c>
      <c r="I119" s="347">
        <v>535.0</v>
      </c>
      <c r="J119" s="346">
        <f t="shared" ref="J119:J124" si="113">I119-H119</f>
        <v>1070</v>
      </c>
      <c r="K119" s="347">
        <v>388.6</v>
      </c>
      <c r="L119" s="347">
        <v>411.4</v>
      </c>
      <c r="M119" s="346">
        <f t="shared" ref="M119:M124" si="114">L119-K119</f>
        <v>22.8</v>
      </c>
      <c r="N119" s="346">
        <f t="shared" ref="N119:N124" si="115">(G119*J119*M119)/1000000</f>
        <v>0.0683088</v>
      </c>
      <c r="O119" s="347">
        <v>7820.0</v>
      </c>
      <c r="P119" s="346">
        <f t="shared" ref="P119:P124" si="116">N119*O119</f>
        <v>534.174816</v>
      </c>
      <c r="Q119" s="350"/>
      <c r="S119" s="319" t="s">
        <v>418</v>
      </c>
      <c r="T119" s="319" t="s">
        <v>419</v>
      </c>
      <c r="W119" s="345" t="s">
        <v>495</v>
      </c>
      <c r="X119" s="346"/>
      <c r="Y119" s="347">
        <v>1.0</v>
      </c>
      <c r="Z119" s="348">
        <v>570.2</v>
      </c>
      <c r="AA119" s="348">
        <v>567.4</v>
      </c>
      <c r="AB119" s="349">
        <f t="shared" ref="AB119:AB124" si="117">Z119-AA119</f>
        <v>2.8</v>
      </c>
      <c r="AC119" s="347">
        <v>388.6</v>
      </c>
      <c r="AD119" s="347">
        <v>411.4</v>
      </c>
      <c r="AE119" s="346">
        <f t="shared" ref="AE119:AE124" si="118">AD119-AC119</f>
        <v>22.8</v>
      </c>
      <c r="AF119" s="347">
        <v>508.4</v>
      </c>
      <c r="AG119" s="347">
        <v>508.4</v>
      </c>
      <c r="AH119" s="346">
        <f t="shared" ref="AH119:AH124" si="119">AG119+AF119</f>
        <v>1016.8</v>
      </c>
      <c r="AI119" s="346">
        <f t="shared" ref="AI119:AI124" si="120">(AB119*AE119*AH119)/1000000</f>
        <v>0.064912512</v>
      </c>
      <c r="AJ119" s="347">
        <v>7820.0</v>
      </c>
      <c r="AK119" s="346">
        <f t="shared" ref="AK119:AK124" si="121">AI119*AJ119</f>
        <v>507.6158438</v>
      </c>
      <c r="AL119" s="350"/>
      <c r="AM119" s="158"/>
      <c r="AN119" s="158"/>
      <c r="AO119" s="158"/>
    </row>
    <row r="120">
      <c r="B120" s="345" t="s">
        <v>496</v>
      </c>
      <c r="C120" s="346"/>
      <c r="D120" s="347">
        <v>2.0</v>
      </c>
      <c r="E120" s="348">
        <v>570.2</v>
      </c>
      <c r="F120" s="348">
        <v>567.4</v>
      </c>
      <c r="G120" s="349">
        <f t="shared" si="112"/>
        <v>2.8</v>
      </c>
      <c r="H120" s="347">
        <v>-535.0</v>
      </c>
      <c r="I120" s="347">
        <v>535.0</v>
      </c>
      <c r="J120" s="346">
        <f t="shared" si="113"/>
        <v>1070</v>
      </c>
      <c r="K120" s="347">
        <v>228.6</v>
      </c>
      <c r="L120" s="347">
        <v>251.4</v>
      </c>
      <c r="M120" s="346">
        <f t="shared" si="114"/>
        <v>22.8</v>
      </c>
      <c r="N120" s="346">
        <f t="shared" si="115"/>
        <v>0.0683088</v>
      </c>
      <c r="O120" s="347">
        <v>7820.0</v>
      </c>
      <c r="P120" s="346">
        <f t="shared" si="116"/>
        <v>534.174816</v>
      </c>
      <c r="Q120" s="350"/>
      <c r="S120" s="319" t="s">
        <v>421</v>
      </c>
      <c r="T120" s="319" t="s">
        <v>419</v>
      </c>
      <c r="W120" s="345" t="s">
        <v>497</v>
      </c>
      <c r="X120" s="346"/>
      <c r="Y120" s="347">
        <v>2.0</v>
      </c>
      <c r="Z120" s="348">
        <v>570.2</v>
      </c>
      <c r="AA120" s="348">
        <v>567.4</v>
      </c>
      <c r="AB120" s="349">
        <f t="shared" si="117"/>
        <v>2.8</v>
      </c>
      <c r="AC120" s="347">
        <v>228.6</v>
      </c>
      <c r="AD120" s="347">
        <v>251.4</v>
      </c>
      <c r="AE120" s="346">
        <f t="shared" si="118"/>
        <v>22.8</v>
      </c>
      <c r="AF120" s="347">
        <v>508.4</v>
      </c>
      <c r="AG120" s="347">
        <v>508.4</v>
      </c>
      <c r="AH120" s="346">
        <f t="shared" si="119"/>
        <v>1016.8</v>
      </c>
      <c r="AI120" s="346">
        <f t="shared" si="120"/>
        <v>0.064912512</v>
      </c>
      <c r="AJ120" s="347">
        <v>7820.0</v>
      </c>
      <c r="AK120" s="346">
        <f t="shared" si="121"/>
        <v>507.6158438</v>
      </c>
      <c r="AL120" s="350"/>
      <c r="AM120" s="158"/>
      <c r="AN120" s="158"/>
      <c r="AO120" s="158"/>
    </row>
    <row r="121">
      <c r="B121" s="345" t="s">
        <v>498</v>
      </c>
      <c r="C121" s="346"/>
      <c r="D121" s="347">
        <v>3.0</v>
      </c>
      <c r="E121" s="348">
        <v>570.2</v>
      </c>
      <c r="F121" s="348">
        <v>567.4</v>
      </c>
      <c r="G121" s="349">
        <f t="shared" si="112"/>
        <v>2.8</v>
      </c>
      <c r="H121" s="347">
        <v>-535.0</v>
      </c>
      <c r="I121" s="347">
        <v>535.0</v>
      </c>
      <c r="J121" s="346">
        <f t="shared" si="113"/>
        <v>1070</v>
      </c>
      <c r="K121" s="347">
        <v>68.6</v>
      </c>
      <c r="L121" s="347">
        <v>91.4</v>
      </c>
      <c r="M121" s="346">
        <f t="shared" si="114"/>
        <v>22.8</v>
      </c>
      <c r="N121" s="346">
        <f t="shared" si="115"/>
        <v>0.0683088</v>
      </c>
      <c r="O121" s="347">
        <v>7820.0</v>
      </c>
      <c r="P121" s="346">
        <f t="shared" si="116"/>
        <v>534.174816</v>
      </c>
      <c r="Q121" s="350"/>
      <c r="S121" s="319" t="s">
        <v>423</v>
      </c>
      <c r="T121" s="319" t="s">
        <v>419</v>
      </c>
      <c r="W121" s="345" t="s">
        <v>499</v>
      </c>
      <c r="X121" s="346"/>
      <c r="Y121" s="347">
        <v>3.0</v>
      </c>
      <c r="Z121" s="348">
        <v>570.2</v>
      </c>
      <c r="AA121" s="348">
        <v>567.4</v>
      </c>
      <c r="AB121" s="349">
        <f t="shared" si="117"/>
        <v>2.8</v>
      </c>
      <c r="AC121" s="347">
        <v>68.6</v>
      </c>
      <c r="AD121" s="347">
        <v>91.4</v>
      </c>
      <c r="AE121" s="346">
        <f t="shared" si="118"/>
        <v>22.8</v>
      </c>
      <c r="AF121" s="347">
        <v>508.4</v>
      </c>
      <c r="AG121" s="347">
        <v>508.4</v>
      </c>
      <c r="AH121" s="346">
        <f t="shared" si="119"/>
        <v>1016.8</v>
      </c>
      <c r="AI121" s="346">
        <f t="shared" si="120"/>
        <v>0.064912512</v>
      </c>
      <c r="AJ121" s="347">
        <v>7820.0</v>
      </c>
      <c r="AK121" s="346">
        <f t="shared" si="121"/>
        <v>507.6158438</v>
      </c>
      <c r="AL121" s="350"/>
      <c r="AM121" s="158"/>
      <c r="AN121" s="158"/>
      <c r="AO121" s="158"/>
    </row>
    <row r="122">
      <c r="B122" s="345" t="s">
        <v>500</v>
      </c>
      <c r="C122" s="346"/>
      <c r="D122" s="347">
        <v>4.0</v>
      </c>
      <c r="E122" s="348">
        <v>570.2</v>
      </c>
      <c r="F122" s="348">
        <v>567.4</v>
      </c>
      <c r="G122" s="349">
        <f t="shared" si="112"/>
        <v>2.8</v>
      </c>
      <c r="H122" s="347">
        <v>-535.0</v>
      </c>
      <c r="I122" s="347">
        <v>535.0</v>
      </c>
      <c r="J122" s="346">
        <f t="shared" si="113"/>
        <v>1070</v>
      </c>
      <c r="K122" s="347">
        <v>-91.4</v>
      </c>
      <c r="L122" s="347">
        <v>-68.6</v>
      </c>
      <c r="M122" s="346">
        <f t="shared" si="114"/>
        <v>22.8</v>
      </c>
      <c r="N122" s="346">
        <f t="shared" si="115"/>
        <v>0.0683088</v>
      </c>
      <c r="O122" s="347">
        <v>7820.0</v>
      </c>
      <c r="P122" s="346">
        <f t="shared" si="116"/>
        <v>534.174816</v>
      </c>
      <c r="Q122" s="350"/>
      <c r="S122" s="319" t="s">
        <v>425</v>
      </c>
      <c r="T122" s="319" t="s">
        <v>419</v>
      </c>
      <c r="W122" s="345" t="s">
        <v>501</v>
      </c>
      <c r="X122" s="346"/>
      <c r="Y122" s="347">
        <v>4.0</v>
      </c>
      <c r="Z122" s="348">
        <v>570.2</v>
      </c>
      <c r="AA122" s="348">
        <v>567.4</v>
      </c>
      <c r="AB122" s="349">
        <f t="shared" si="117"/>
        <v>2.8</v>
      </c>
      <c r="AC122" s="347">
        <v>-91.4</v>
      </c>
      <c r="AD122" s="347">
        <v>-68.6</v>
      </c>
      <c r="AE122" s="346">
        <f t="shared" si="118"/>
        <v>22.8</v>
      </c>
      <c r="AF122" s="347">
        <v>508.4</v>
      </c>
      <c r="AG122" s="347">
        <v>508.4</v>
      </c>
      <c r="AH122" s="346">
        <f t="shared" si="119"/>
        <v>1016.8</v>
      </c>
      <c r="AI122" s="346">
        <f t="shared" si="120"/>
        <v>0.064912512</v>
      </c>
      <c r="AJ122" s="347">
        <v>7820.0</v>
      </c>
      <c r="AK122" s="346">
        <f t="shared" si="121"/>
        <v>507.6158438</v>
      </c>
      <c r="AL122" s="350"/>
      <c r="AM122" s="158"/>
      <c r="AN122" s="158"/>
      <c r="AO122" s="158"/>
    </row>
    <row r="123">
      <c r="B123" s="345" t="s">
        <v>502</v>
      </c>
      <c r="C123" s="346"/>
      <c r="D123" s="347">
        <v>5.0</v>
      </c>
      <c r="E123" s="348">
        <v>570.2</v>
      </c>
      <c r="F123" s="348">
        <v>567.4</v>
      </c>
      <c r="G123" s="349">
        <f t="shared" si="112"/>
        <v>2.8</v>
      </c>
      <c r="H123" s="347">
        <v>-535.0</v>
      </c>
      <c r="I123" s="347">
        <v>535.0</v>
      </c>
      <c r="J123" s="346">
        <f t="shared" si="113"/>
        <v>1070</v>
      </c>
      <c r="K123" s="347">
        <v>-251.4</v>
      </c>
      <c r="L123" s="347">
        <v>-228.6</v>
      </c>
      <c r="M123" s="346">
        <f t="shared" si="114"/>
        <v>22.8</v>
      </c>
      <c r="N123" s="346">
        <f t="shared" si="115"/>
        <v>0.0683088</v>
      </c>
      <c r="O123" s="347">
        <v>7820.0</v>
      </c>
      <c r="P123" s="346">
        <f t="shared" si="116"/>
        <v>534.174816</v>
      </c>
      <c r="Q123" s="350"/>
      <c r="S123" s="319" t="s">
        <v>427</v>
      </c>
      <c r="T123" s="319" t="s">
        <v>419</v>
      </c>
      <c r="W123" s="345" t="s">
        <v>503</v>
      </c>
      <c r="X123" s="346"/>
      <c r="Y123" s="347">
        <v>5.0</v>
      </c>
      <c r="Z123" s="348">
        <v>570.2</v>
      </c>
      <c r="AA123" s="348">
        <v>567.4</v>
      </c>
      <c r="AB123" s="349">
        <f t="shared" si="117"/>
        <v>2.8</v>
      </c>
      <c r="AC123" s="347">
        <v>-252.1</v>
      </c>
      <c r="AD123" s="347">
        <v>-229.3</v>
      </c>
      <c r="AE123" s="346">
        <f t="shared" si="118"/>
        <v>22.8</v>
      </c>
      <c r="AF123" s="347">
        <v>508.4</v>
      </c>
      <c r="AG123" s="347">
        <v>508.4</v>
      </c>
      <c r="AH123" s="346">
        <f t="shared" si="119"/>
        <v>1016.8</v>
      </c>
      <c r="AI123" s="346">
        <f t="shared" si="120"/>
        <v>0.064912512</v>
      </c>
      <c r="AJ123" s="347">
        <v>7820.0</v>
      </c>
      <c r="AK123" s="346">
        <f t="shared" si="121"/>
        <v>507.6158438</v>
      </c>
      <c r="AL123" s="350"/>
      <c r="AM123" s="158"/>
      <c r="AN123" s="158"/>
      <c r="AO123" s="158"/>
    </row>
    <row r="124">
      <c r="B124" s="345" t="s">
        <v>504</v>
      </c>
      <c r="C124" s="346"/>
      <c r="D124" s="347">
        <v>6.0</v>
      </c>
      <c r="E124" s="348">
        <v>570.2</v>
      </c>
      <c r="F124" s="348">
        <v>567.4</v>
      </c>
      <c r="G124" s="349">
        <f t="shared" si="112"/>
        <v>2.8</v>
      </c>
      <c r="H124" s="347">
        <v>-535.0</v>
      </c>
      <c r="I124" s="347">
        <v>535.0</v>
      </c>
      <c r="J124" s="346">
        <f t="shared" si="113"/>
        <v>1070</v>
      </c>
      <c r="K124" s="347">
        <v>-411.4</v>
      </c>
      <c r="L124" s="347">
        <v>-388.6</v>
      </c>
      <c r="M124" s="346">
        <f t="shared" si="114"/>
        <v>22.8</v>
      </c>
      <c r="N124" s="346">
        <f t="shared" si="115"/>
        <v>0.0683088</v>
      </c>
      <c r="O124" s="347">
        <v>7820.0</v>
      </c>
      <c r="P124" s="346">
        <f t="shared" si="116"/>
        <v>534.174816</v>
      </c>
      <c r="Q124" s="350"/>
      <c r="S124" s="319" t="s">
        <v>429</v>
      </c>
      <c r="T124" s="319" t="s">
        <v>419</v>
      </c>
      <c r="W124" s="345" t="s">
        <v>505</v>
      </c>
      <c r="X124" s="346"/>
      <c r="Y124" s="347">
        <v>6.0</v>
      </c>
      <c r="Z124" s="348">
        <v>570.2</v>
      </c>
      <c r="AA124" s="348">
        <v>567.4</v>
      </c>
      <c r="AB124" s="349">
        <f t="shared" si="117"/>
        <v>2.8</v>
      </c>
      <c r="AC124" s="347">
        <v>-411.4</v>
      </c>
      <c r="AD124" s="347">
        <v>-388.6</v>
      </c>
      <c r="AE124" s="346">
        <f t="shared" si="118"/>
        <v>22.8</v>
      </c>
      <c r="AF124" s="347">
        <v>508.4</v>
      </c>
      <c r="AG124" s="347">
        <v>508.4</v>
      </c>
      <c r="AH124" s="346">
        <f t="shared" si="119"/>
        <v>1016.8</v>
      </c>
      <c r="AI124" s="346">
        <f t="shared" si="120"/>
        <v>0.064912512</v>
      </c>
      <c r="AJ124" s="347">
        <v>7820.0</v>
      </c>
      <c r="AK124" s="346">
        <f t="shared" si="121"/>
        <v>507.6158438</v>
      </c>
      <c r="AL124" s="350"/>
      <c r="AM124" s="158"/>
      <c r="AN124" s="158"/>
      <c r="AO124" s="158"/>
    </row>
    <row r="125">
      <c r="B125" s="352"/>
      <c r="C125" s="346"/>
      <c r="D125" s="347" t="s">
        <v>294</v>
      </c>
      <c r="E125" s="346"/>
      <c r="F125" s="346"/>
      <c r="G125" s="346"/>
      <c r="H125" s="346"/>
      <c r="I125" s="346"/>
      <c r="J125" s="346"/>
      <c r="K125" s="346"/>
      <c r="L125" s="346"/>
      <c r="M125" s="346"/>
      <c r="N125" s="346">
        <f>SUM(N119:N124)</f>
        <v>0.4098528</v>
      </c>
      <c r="O125" s="346"/>
      <c r="P125" s="346">
        <f>SUM(P119:P124)</f>
        <v>3205.048896</v>
      </c>
      <c r="Q125" s="350"/>
      <c r="S125" s="321"/>
      <c r="T125" s="321"/>
      <c r="U125" s="321"/>
      <c r="V125" s="321"/>
      <c r="W125" s="352"/>
      <c r="X125" s="346"/>
      <c r="Y125" s="347" t="s">
        <v>294</v>
      </c>
      <c r="Z125" s="346"/>
      <c r="AA125" s="346"/>
      <c r="AB125" s="346"/>
      <c r="AC125" s="346"/>
      <c r="AD125" s="346"/>
      <c r="AE125" s="346"/>
      <c r="AF125" s="346"/>
      <c r="AG125" s="346"/>
      <c r="AH125" s="346"/>
      <c r="AI125" s="346">
        <f>SUM(AI119:AI124)</f>
        <v>0.389475072</v>
      </c>
      <c r="AJ125" s="346"/>
      <c r="AK125" s="346">
        <f>SUM(AK119:AK124)</f>
        <v>3045.695063</v>
      </c>
      <c r="AL125" s="350"/>
      <c r="AM125" s="158">
        <f>AI125+N125</f>
        <v>0.799327872</v>
      </c>
      <c r="AN125" s="158"/>
      <c r="AO125" s="158"/>
    </row>
    <row r="126">
      <c r="B126" s="355"/>
      <c r="C126" s="356"/>
      <c r="D126" s="356"/>
      <c r="E126" s="356"/>
      <c r="F126" s="356"/>
      <c r="G126" s="356"/>
      <c r="H126" s="356"/>
      <c r="I126" s="356"/>
      <c r="J126" s="356"/>
      <c r="K126" s="356"/>
      <c r="L126" s="356"/>
      <c r="M126" s="356"/>
      <c r="N126" s="356"/>
      <c r="O126" s="356"/>
      <c r="P126" s="356">
        <f>P125/1000</f>
        <v>3.205048896</v>
      </c>
      <c r="Q126" s="357" t="s">
        <v>371</v>
      </c>
      <c r="S126" s="321"/>
      <c r="T126" s="321"/>
      <c r="U126" s="321"/>
      <c r="V126" s="321"/>
      <c r="W126" s="355"/>
      <c r="X126" s="356"/>
      <c r="Y126" s="356"/>
      <c r="Z126" s="356"/>
      <c r="AA126" s="356"/>
      <c r="AB126" s="356"/>
      <c r="AC126" s="356"/>
      <c r="AD126" s="356"/>
      <c r="AE126" s="356"/>
      <c r="AF126" s="356"/>
      <c r="AG126" s="356"/>
      <c r="AH126" s="356"/>
      <c r="AI126" s="356"/>
      <c r="AJ126" s="356"/>
      <c r="AK126" s="356">
        <f>AK125/1000</f>
        <v>3.045695063</v>
      </c>
      <c r="AL126" s="357" t="s">
        <v>371</v>
      </c>
      <c r="AM126" s="307"/>
      <c r="AN126" s="307"/>
      <c r="AO126" s="307"/>
    </row>
    <row r="127">
      <c r="AM127" s="158"/>
      <c r="AN127" s="158"/>
      <c r="AO127" s="158"/>
    </row>
    <row r="128">
      <c r="AM128" s="158"/>
      <c r="AN128" s="158"/>
      <c r="AO128" s="158"/>
    </row>
    <row r="129">
      <c r="N129" s="147">
        <f>2.8-1.125</f>
        <v>1.675</v>
      </c>
      <c r="O129" s="147">
        <f>2.8-N130</f>
        <v>1.9625</v>
      </c>
      <c r="AM129" s="158"/>
      <c r="AN129" s="158"/>
      <c r="AO129" s="158"/>
    </row>
    <row r="130">
      <c r="N130" s="147">
        <f>N129/2</f>
        <v>0.8375</v>
      </c>
      <c r="O130" s="147">
        <f>1.125+N130</f>
        <v>1.9625</v>
      </c>
      <c r="AM130" s="158"/>
      <c r="AN130" s="158"/>
      <c r="AO130" s="158"/>
    </row>
    <row r="131">
      <c r="AM131" s="158"/>
      <c r="AN131" s="158"/>
      <c r="AO131" s="158"/>
    </row>
    <row r="132">
      <c r="B132" s="308" t="s">
        <v>330</v>
      </c>
      <c r="C132" s="309" t="s">
        <v>331</v>
      </c>
      <c r="D132" s="309" t="s">
        <v>506</v>
      </c>
      <c r="E132" s="309" t="s">
        <v>333</v>
      </c>
      <c r="F132" s="309" t="s">
        <v>334</v>
      </c>
      <c r="G132" s="309" t="s">
        <v>335</v>
      </c>
      <c r="H132" s="309" t="s">
        <v>336</v>
      </c>
      <c r="I132" s="309" t="s">
        <v>337</v>
      </c>
      <c r="J132" s="309" t="s">
        <v>338</v>
      </c>
      <c r="K132" s="309" t="s">
        <v>339</v>
      </c>
      <c r="L132" s="309" t="s">
        <v>340</v>
      </c>
      <c r="M132" s="309" t="s">
        <v>341</v>
      </c>
      <c r="N132" s="309" t="s">
        <v>235</v>
      </c>
      <c r="O132" s="309" t="s">
        <v>342</v>
      </c>
      <c r="P132" s="309" t="s">
        <v>229</v>
      </c>
      <c r="Q132" s="310"/>
      <c r="R132" s="311" t="s">
        <v>240</v>
      </c>
      <c r="W132" s="308" t="s">
        <v>330</v>
      </c>
      <c r="X132" s="309" t="s">
        <v>331</v>
      </c>
      <c r="Y132" s="364" t="s">
        <v>506</v>
      </c>
      <c r="Z132" s="309" t="s">
        <v>333</v>
      </c>
      <c r="AA132" s="309" t="s">
        <v>334</v>
      </c>
      <c r="AB132" s="309" t="s">
        <v>335</v>
      </c>
      <c r="AC132" s="309" t="s">
        <v>336</v>
      </c>
      <c r="AD132" s="309" t="s">
        <v>337</v>
      </c>
      <c r="AE132" s="309" t="s">
        <v>338</v>
      </c>
      <c r="AF132" s="309" t="s">
        <v>339</v>
      </c>
      <c r="AG132" s="309" t="s">
        <v>340</v>
      </c>
      <c r="AH132" s="309" t="s">
        <v>341</v>
      </c>
      <c r="AI132" s="309" t="s">
        <v>235</v>
      </c>
      <c r="AJ132" s="309" t="s">
        <v>342</v>
      </c>
      <c r="AK132" s="309" t="s">
        <v>229</v>
      </c>
      <c r="AL132" s="310"/>
      <c r="AM132" s="158"/>
      <c r="AN132" s="158"/>
      <c r="AO132" s="158"/>
    </row>
    <row r="133">
      <c r="B133" s="312" t="s">
        <v>507</v>
      </c>
      <c r="C133" s="313"/>
      <c r="D133" s="314">
        <v>1.0</v>
      </c>
      <c r="E133" s="314">
        <v>570.2</v>
      </c>
      <c r="F133" s="314">
        <v>570.2</v>
      </c>
      <c r="G133" s="315">
        <f t="shared" ref="G133:G138" si="122">SUM(E133:F133)</f>
        <v>1140.4</v>
      </c>
      <c r="H133" s="316">
        <v>411.4</v>
      </c>
      <c r="I133" s="316">
        <v>388.6</v>
      </c>
      <c r="J133" s="313">
        <f t="shared" ref="J133:J138" si="123">H133-I133</f>
        <v>22.8</v>
      </c>
      <c r="K133" s="316">
        <v>508.4</v>
      </c>
      <c r="L133" s="316">
        <v>511.2</v>
      </c>
      <c r="M133" s="313">
        <f t="shared" ref="M133:M138" si="124">L133-K133</f>
        <v>2.8</v>
      </c>
      <c r="N133" s="313">
        <f t="shared" ref="N133:N138" si="125">(G133*J133*M133)/1000000</f>
        <v>0.072803136</v>
      </c>
      <c r="O133" s="316">
        <v>7820.0</v>
      </c>
      <c r="P133" s="313">
        <f t="shared" ref="P133:P138" si="126">N133*O133</f>
        <v>569.3205235</v>
      </c>
      <c r="Q133" s="317"/>
      <c r="R133" s="318">
        <f>SUM(P140,P150,P160,P170,P180,P190,AK140,AK150,AK160,AK170,AK180,AK190)</f>
        <v>38.6666684</v>
      </c>
      <c r="S133" s="319" t="s">
        <v>432</v>
      </c>
      <c r="T133" s="319" t="s">
        <v>433</v>
      </c>
      <c r="W133" s="312" t="s">
        <v>508</v>
      </c>
      <c r="X133" s="313"/>
      <c r="Y133" s="314">
        <v>1.0</v>
      </c>
      <c r="Z133" s="314">
        <v>-411.4</v>
      </c>
      <c r="AA133" s="314">
        <v>-388.6</v>
      </c>
      <c r="AB133" s="315">
        <f t="shared" ref="AB133:AB138" si="127">AA133-Z133</f>
        <v>22.8</v>
      </c>
      <c r="AC133" s="316">
        <v>535.0</v>
      </c>
      <c r="AD133" s="316">
        <v>535.0</v>
      </c>
      <c r="AE133" s="313">
        <f t="shared" ref="AE133:AE138" si="128">AD133+AC133</f>
        <v>1070</v>
      </c>
      <c r="AF133" s="316">
        <v>508.4</v>
      </c>
      <c r="AG133" s="316">
        <v>511.2</v>
      </c>
      <c r="AH133" s="313">
        <f t="shared" ref="AH133:AH138" si="129">AG133-AF133</f>
        <v>2.8</v>
      </c>
      <c r="AI133" s="313">
        <f t="shared" ref="AI133:AI138" si="130">(AB133*AE133*AH133)/1000000</f>
        <v>0.0683088</v>
      </c>
      <c r="AJ133" s="316">
        <v>7820.0</v>
      </c>
      <c r="AK133" s="313">
        <f t="shared" ref="AK133:AK138" si="131">AI133*AJ133</f>
        <v>534.174816</v>
      </c>
      <c r="AL133" s="317"/>
      <c r="AM133" s="158"/>
      <c r="AN133" s="158"/>
      <c r="AO133" s="158"/>
    </row>
    <row r="134">
      <c r="B134" s="312" t="s">
        <v>509</v>
      </c>
      <c r="C134" s="313"/>
      <c r="D134" s="314">
        <v>2.0</v>
      </c>
      <c r="E134" s="314">
        <v>570.2</v>
      </c>
      <c r="F134" s="314">
        <v>570.2</v>
      </c>
      <c r="G134" s="315">
        <f t="shared" si="122"/>
        <v>1140.4</v>
      </c>
      <c r="H134" s="316">
        <v>251.4</v>
      </c>
      <c r="I134" s="316">
        <v>228.6</v>
      </c>
      <c r="J134" s="313">
        <f t="shared" si="123"/>
        <v>22.8</v>
      </c>
      <c r="K134" s="316">
        <v>508.4</v>
      </c>
      <c r="L134" s="316">
        <v>511.2</v>
      </c>
      <c r="M134" s="313">
        <f t="shared" si="124"/>
        <v>2.8</v>
      </c>
      <c r="N134" s="313">
        <f t="shared" si="125"/>
        <v>0.072803136</v>
      </c>
      <c r="O134" s="316">
        <v>7820.0</v>
      </c>
      <c r="P134" s="313">
        <f t="shared" si="126"/>
        <v>569.3205235</v>
      </c>
      <c r="Q134" s="317"/>
      <c r="S134" s="319" t="s">
        <v>435</v>
      </c>
      <c r="T134" s="319" t="s">
        <v>433</v>
      </c>
      <c r="W134" s="323" t="s">
        <v>510</v>
      </c>
      <c r="X134" s="313"/>
      <c r="Y134" s="314">
        <v>2.0</v>
      </c>
      <c r="Z134" s="314">
        <v>-251.4</v>
      </c>
      <c r="AA134" s="314">
        <v>-228.6</v>
      </c>
      <c r="AB134" s="315">
        <f t="shared" si="127"/>
        <v>22.8</v>
      </c>
      <c r="AC134" s="316">
        <v>535.0</v>
      </c>
      <c r="AD134" s="316">
        <v>535.0</v>
      </c>
      <c r="AE134" s="313">
        <f t="shared" si="128"/>
        <v>1070</v>
      </c>
      <c r="AF134" s="316">
        <v>508.4</v>
      </c>
      <c r="AG134" s="316">
        <v>511.2</v>
      </c>
      <c r="AH134" s="313">
        <f t="shared" si="129"/>
        <v>2.8</v>
      </c>
      <c r="AI134" s="313">
        <f t="shared" si="130"/>
        <v>0.0683088</v>
      </c>
      <c r="AJ134" s="316">
        <v>7820.0</v>
      </c>
      <c r="AK134" s="313">
        <f t="shared" si="131"/>
        <v>534.174816</v>
      </c>
      <c r="AL134" s="317"/>
      <c r="AM134" s="158"/>
      <c r="AN134" s="158"/>
      <c r="AO134" s="158"/>
    </row>
    <row r="135">
      <c r="B135" s="312" t="s">
        <v>511</v>
      </c>
      <c r="C135" s="313"/>
      <c r="D135" s="314">
        <v>3.0</v>
      </c>
      <c r="E135" s="314">
        <v>570.2</v>
      </c>
      <c r="F135" s="314">
        <v>570.2</v>
      </c>
      <c r="G135" s="315">
        <f t="shared" si="122"/>
        <v>1140.4</v>
      </c>
      <c r="H135" s="316">
        <v>91.4</v>
      </c>
      <c r="I135" s="316">
        <v>68.6</v>
      </c>
      <c r="J135" s="313">
        <f t="shared" si="123"/>
        <v>22.8</v>
      </c>
      <c r="K135" s="316">
        <v>508.4</v>
      </c>
      <c r="L135" s="316">
        <v>511.2</v>
      </c>
      <c r="M135" s="313">
        <f t="shared" si="124"/>
        <v>2.8</v>
      </c>
      <c r="N135" s="313">
        <f t="shared" si="125"/>
        <v>0.072803136</v>
      </c>
      <c r="O135" s="316">
        <v>7820.0</v>
      </c>
      <c r="P135" s="313">
        <f t="shared" si="126"/>
        <v>569.3205235</v>
      </c>
      <c r="Q135" s="317"/>
      <c r="S135" s="319" t="s">
        <v>437</v>
      </c>
      <c r="T135" s="319" t="s">
        <v>433</v>
      </c>
      <c r="W135" s="323" t="s">
        <v>512</v>
      </c>
      <c r="X135" s="313"/>
      <c r="Y135" s="314">
        <v>3.0</v>
      </c>
      <c r="Z135" s="314">
        <v>-91.4</v>
      </c>
      <c r="AA135" s="314">
        <v>-68.6</v>
      </c>
      <c r="AB135" s="315">
        <f t="shared" si="127"/>
        <v>22.8</v>
      </c>
      <c r="AC135" s="316">
        <v>535.0</v>
      </c>
      <c r="AD135" s="316">
        <v>535.0</v>
      </c>
      <c r="AE135" s="313">
        <f t="shared" si="128"/>
        <v>1070</v>
      </c>
      <c r="AF135" s="316">
        <v>508.4</v>
      </c>
      <c r="AG135" s="316">
        <v>511.2</v>
      </c>
      <c r="AH135" s="313">
        <f t="shared" si="129"/>
        <v>2.8</v>
      </c>
      <c r="AI135" s="313">
        <f t="shared" si="130"/>
        <v>0.0683088</v>
      </c>
      <c r="AJ135" s="316">
        <v>7820.0</v>
      </c>
      <c r="AK135" s="313">
        <f t="shared" si="131"/>
        <v>534.174816</v>
      </c>
      <c r="AL135" s="317"/>
      <c r="AM135" s="158"/>
      <c r="AN135" s="158"/>
      <c r="AO135" s="158"/>
    </row>
    <row r="136">
      <c r="B136" s="312" t="s">
        <v>513</v>
      </c>
      <c r="C136" s="313"/>
      <c r="D136" s="314">
        <v>4.0</v>
      </c>
      <c r="E136" s="314">
        <v>570.2</v>
      </c>
      <c r="F136" s="314">
        <v>570.2</v>
      </c>
      <c r="G136" s="315">
        <f t="shared" si="122"/>
        <v>1140.4</v>
      </c>
      <c r="H136" s="316">
        <v>-68.6</v>
      </c>
      <c r="I136" s="316">
        <v>-91.4</v>
      </c>
      <c r="J136" s="313">
        <f t="shared" si="123"/>
        <v>22.8</v>
      </c>
      <c r="K136" s="316">
        <v>508.4</v>
      </c>
      <c r="L136" s="316">
        <v>511.2</v>
      </c>
      <c r="M136" s="313">
        <f t="shared" si="124"/>
        <v>2.8</v>
      </c>
      <c r="N136" s="313">
        <f t="shared" si="125"/>
        <v>0.072803136</v>
      </c>
      <c r="O136" s="316">
        <v>7820.0</v>
      </c>
      <c r="P136" s="313">
        <f t="shared" si="126"/>
        <v>569.3205235</v>
      </c>
      <c r="Q136" s="317"/>
      <c r="S136" s="319" t="s">
        <v>439</v>
      </c>
      <c r="T136" s="319" t="s">
        <v>433</v>
      </c>
      <c r="W136" s="312" t="s">
        <v>514</v>
      </c>
      <c r="X136" s="313"/>
      <c r="Y136" s="314">
        <v>4.0</v>
      </c>
      <c r="Z136" s="314">
        <v>68.6</v>
      </c>
      <c r="AA136" s="314">
        <v>91.4</v>
      </c>
      <c r="AB136" s="315">
        <f t="shared" si="127"/>
        <v>22.8</v>
      </c>
      <c r="AC136" s="316">
        <v>535.0</v>
      </c>
      <c r="AD136" s="316">
        <v>535.0</v>
      </c>
      <c r="AE136" s="313">
        <f t="shared" si="128"/>
        <v>1070</v>
      </c>
      <c r="AF136" s="316">
        <v>508.4</v>
      </c>
      <c r="AG136" s="316">
        <v>511.2</v>
      </c>
      <c r="AH136" s="313">
        <f t="shared" si="129"/>
        <v>2.8</v>
      </c>
      <c r="AI136" s="313">
        <f t="shared" si="130"/>
        <v>0.0683088</v>
      </c>
      <c r="AJ136" s="316">
        <v>7820.0</v>
      </c>
      <c r="AK136" s="313">
        <f t="shared" si="131"/>
        <v>534.174816</v>
      </c>
      <c r="AL136" s="317"/>
      <c r="AM136" s="158"/>
      <c r="AN136" s="158"/>
      <c r="AO136" s="158"/>
    </row>
    <row r="137">
      <c r="B137" s="312" t="s">
        <v>515</v>
      </c>
      <c r="C137" s="313"/>
      <c r="D137" s="314">
        <v>5.0</v>
      </c>
      <c r="E137" s="314">
        <v>570.2</v>
      </c>
      <c r="F137" s="314">
        <v>570.2</v>
      </c>
      <c r="G137" s="315">
        <f t="shared" si="122"/>
        <v>1140.4</v>
      </c>
      <c r="H137" s="316">
        <v>-228.6</v>
      </c>
      <c r="I137" s="316">
        <v>-251.4</v>
      </c>
      <c r="J137" s="313">
        <f t="shared" si="123"/>
        <v>22.8</v>
      </c>
      <c r="K137" s="316">
        <v>508.4</v>
      </c>
      <c r="L137" s="316">
        <v>511.2</v>
      </c>
      <c r="M137" s="313">
        <f t="shared" si="124"/>
        <v>2.8</v>
      </c>
      <c r="N137" s="313">
        <f t="shared" si="125"/>
        <v>0.072803136</v>
      </c>
      <c r="O137" s="316">
        <v>7820.0</v>
      </c>
      <c r="P137" s="313">
        <f t="shared" si="126"/>
        <v>569.3205235</v>
      </c>
      <c r="Q137" s="317"/>
      <c r="S137" s="319" t="s">
        <v>441</v>
      </c>
      <c r="T137" s="319" t="s">
        <v>433</v>
      </c>
      <c r="W137" s="312" t="s">
        <v>516</v>
      </c>
      <c r="X137" s="313"/>
      <c r="Y137" s="314">
        <v>5.0</v>
      </c>
      <c r="Z137" s="314">
        <v>228.6</v>
      </c>
      <c r="AA137" s="314">
        <v>251.4</v>
      </c>
      <c r="AB137" s="315">
        <f t="shared" si="127"/>
        <v>22.8</v>
      </c>
      <c r="AC137" s="316">
        <v>535.0</v>
      </c>
      <c r="AD137" s="316">
        <v>535.0</v>
      </c>
      <c r="AE137" s="313">
        <f t="shared" si="128"/>
        <v>1070</v>
      </c>
      <c r="AF137" s="316">
        <v>508.4</v>
      </c>
      <c r="AG137" s="316">
        <v>511.2</v>
      </c>
      <c r="AH137" s="313">
        <f t="shared" si="129"/>
        <v>2.8</v>
      </c>
      <c r="AI137" s="313">
        <f t="shared" si="130"/>
        <v>0.0683088</v>
      </c>
      <c r="AJ137" s="316">
        <v>7820.0</v>
      </c>
      <c r="AK137" s="313">
        <f t="shared" si="131"/>
        <v>534.174816</v>
      </c>
      <c r="AL137" s="317"/>
      <c r="AM137" s="158"/>
      <c r="AN137" s="158"/>
      <c r="AO137" s="158"/>
    </row>
    <row r="138">
      <c r="B138" s="312" t="s">
        <v>517</v>
      </c>
      <c r="C138" s="313"/>
      <c r="D138" s="314">
        <v>6.0</v>
      </c>
      <c r="E138" s="314">
        <v>570.2</v>
      </c>
      <c r="F138" s="314">
        <v>570.2</v>
      </c>
      <c r="G138" s="315">
        <f t="shared" si="122"/>
        <v>1140.4</v>
      </c>
      <c r="H138" s="316">
        <v>-388.6</v>
      </c>
      <c r="I138" s="316">
        <v>-411.4</v>
      </c>
      <c r="J138" s="313">
        <f t="shared" si="123"/>
        <v>22.8</v>
      </c>
      <c r="K138" s="316">
        <v>508.4</v>
      </c>
      <c r="L138" s="316">
        <v>511.2</v>
      </c>
      <c r="M138" s="313">
        <f t="shared" si="124"/>
        <v>2.8</v>
      </c>
      <c r="N138" s="313">
        <f t="shared" si="125"/>
        <v>0.072803136</v>
      </c>
      <c r="O138" s="316">
        <v>7820.0</v>
      </c>
      <c r="P138" s="313">
        <f t="shared" si="126"/>
        <v>569.3205235</v>
      </c>
      <c r="Q138" s="317"/>
      <c r="S138" s="319" t="s">
        <v>443</v>
      </c>
      <c r="T138" s="319" t="s">
        <v>433</v>
      </c>
      <c r="W138" s="312" t="s">
        <v>518</v>
      </c>
      <c r="X138" s="313"/>
      <c r="Y138" s="314">
        <v>6.0</v>
      </c>
      <c r="Z138" s="314">
        <v>388.6</v>
      </c>
      <c r="AA138" s="314">
        <v>411.4</v>
      </c>
      <c r="AB138" s="315">
        <f t="shared" si="127"/>
        <v>22.8</v>
      </c>
      <c r="AC138" s="316">
        <v>535.0</v>
      </c>
      <c r="AD138" s="316">
        <v>535.0</v>
      </c>
      <c r="AE138" s="313">
        <f t="shared" si="128"/>
        <v>1070</v>
      </c>
      <c r="AF138" s="316">
        <v>508.4</v>
      </c>
      <c r="AG138" s="316">
        <v>511.2</v>
      </c>
      <c r="AH138" s="313">
        <f t="shared" si="129"/>
        <v>2.8</v>
      </c>
      <c r="AI138" s="313">
        <f t="shared" si="130"/>
        <v>0.0683088</v>
      </c>
      <c r="AJ138" s="316">
        <v>7820.0</v>
      </c>
      <c r="AK138" s="313">
        <f t="shared" si="131"/>
        <v>534.174816</v>
      </c>
      <c r="AL138" s="317"/>
      <c r="AM138" s="158"/>
      <c r="AN138" s="158"/>
      <c r="AO138" s="158"/>
    </row>
    <row r="139">
      <c r="B139" s="320"/>
      <c r="C139" s="313"/>
      <c r="D139" s="316" t="s">
        <v>294</v>
      </c>
      <c r="E139" s="313"/>
      <c r="F139" s="313"/>
      <c r="G139" s="313"/>
      <c r="H139" s="313"/>
      <c r="I139" s="313"/>
      <c r="J139" s="313"/>
      <c r="K139" s="313"/>
      <c r="L139" s="313"/>
      <c r="M139" s="313"/>
      <c r="N139" s="313">
        <f>SUM(N133:N138)</f>
        <v>0.436818816</v>
      </c>
      <c r="O139" s="313"/>
      <c r="P139" s="313">
        <f>SUM(P133:P138)</f>
        <v>3415.923141</v>
      </c>
      <c r="Q139" s="317"/>
      <c r="S139" s="321"/>
      <c r="T139" s="321"/>
      <c r="U139" s="321"/>
      <c r="V139" s="321"/>
      <c r="W139" s="320"/>
      <c r="X139" s="313"/>
      <c r="Y139" s="316" t="s">
        <v>294</v>
      </c>
      <c r="Z139" s="313"/>
      <c r="AA139" s="313"/>
      <c r="AB139" s="313"/>
      <c r="AC139" s="313"/>
      <c r="AD139" s="313"/>
      <c r="AE139" s="313"/>
      <c r="AF139" s="313"/>
      <c r="AG139" s="313"/>
      <c r="AH139" s="313"/>
      <c r="AI139" s="313">
        <f>SUM(AI133:AI138)</f>
        <v>0.4098528</v>
      </c>
      <c r="AJ139" s="313"/>
      <c r="AK139" s="313">
        <f>SUM(AK133:AK138)</f>
        <v>3205.048896</v>
      </c>
      <c r="AL139" s="317"/>
      <c r="AM139" s="158">
        <f>AI139+N139</f>
        <v>0.846671616</v>
      </c>
      <c r="AN139" s="158"/>
      <c r="AO139" s="158"/>
    </row>
    <row r="140">
      <c r="B140" s="320"/>
      <c r="C140" s="313"/>
      <c r="D140" s="313"/>
      <c r="E140" s="313"/>
      <c r="F140" s="313"/>
      <c r="G140" s="313"/>
      <c r="H140" s="313"/>
      <c r="I140" s="313"/>
      <c r="J140" s="313"/>
      <c r="K140" s="313"/>
      <c r="L140" s="313"/>
      <c r="M140" s="313"/>
      <c r="N140" s="313"/>
      <c r="O140" s="313"/>
      <c r="P140" s="313">
        <f>P139/1000</f>
        <v>3.415923141</v>
      </c>
      <c r="Q140" s="322" t="s">
        <v>356</v>
      </c>
      <c r="S140" s="321"/>
      <c r="T140" s="321"/>
      <c r="U140" s="321"/>
      <c r="V140" s="321"/>
      <c r="W140" s="320"/>
      <c r="X140" s="313"/>
      <c r="Y140" s="313"/>
      <c r="Z140" s="313"/>
      <c r="AA140" s="313"/>
      <c r="AB140" s="313"/>
      <c r="AC140" s="313"/>
      <c r="AD140" s="313"/>
      <c r="AE140" s="313"/>
      <c r="AF140" s="313"/>
      <c r="AG140" s="313"/>
      <c r="AH140" s="313"/>
      <c r="AI140" s="313"/>
      <c r="AJ140" s="313"/>
      <c r="AK140" s="313">
        <f>AK139/1000</f>
        <v>3.205048896</v>
      </c>
      <c r="AL140" s="322" t="s">
        <v>356</v>
      </c>
      <c r="AM140" s="307"/>
      <c r="AN140" s="307"/>
      <c r="AO140" s="307"/>
    </row>
    <row r="141">
      <c r="B141" s="320"/>
      <c r="C141" s="313"/>
      <c r="D141" s="313"/>
      <c r="E141" s="313"/>
      <c r="F141" s="313"/>
      <c r="G141" s="313"/>
      <c r="H141" s="313"/>
      <c r="I141" s="313"/>
      <c r="J141" s="313"/>
      <c r="K141" s="313"/>
      <c r="L141" s="313"/>
      <c r="M141" s="313"/>
      <c r="N141" s="313"/>
      <c r="O141" s="313"/>
      <c r="P141" s="313"/>
      <c r="Q141" s="322"/>
      <c r="S141" s="321"/>
      <c r="T141" s="321"/>
      <c r="U141" s="321"/>
      <c r="V141" s="321"/>
      <c r="W141" s="320"/>
      <c r="X141" s="313"/>
      <c r="Y141" s="313"/>
      <c r="Z141" s="313"/>
      <c r="AA141" s="313"/>
      <c r="AB141" s="313"/>
      <c r="AC141" s="313"/>
      <c r="AD141" s="313"/>
      <c r="AE141" s="313"/>
      <c r="AF141" s="313"/>
      <c r="AG141" s="313"/>
      <c r="AH141" s="313"/>
      <c r="AI141" s="313"/>
      <c r="AJ141" s="313"/>
      <c r="AK141" s="313"/>
      <c r="AL141" s="322"/>
      <c r="AM141" s="307"/>
      <c r="AN141" s="307"/>
      <c r="AO141" s="307"/>
    </row>
    <row r="142">
      <c r="B142" s="323" t="s">
        <v>330</v>
      </c>
      <c r="C142" s="316" t="s">
        <v>357</v>
      </c>
      <c r="D142" s="362" t="s">
        <v>506</v>
      </c>
      <c r="E142" s="316" t="s">
        <v>333</v>
      </c>
      <c r="F142" s="316" t="s">
        <v>334</v>
      </c>
      <c r="G142" s="316" t="s">
        <v>335</v>
      </c>
      <c r="H142" s="316" t="s">
        <v>336</v>
      </c>
      <c r="I142" s="316" t="s">
        <v>337</v>
      </c>
      <c r="J142" s="316" t="s">
        <v>338</v>
      </c>
      <c r="K142" s="316" t="s">
        <v>339</v>
      </c>
      <c r="L142" s="316" t="s">
        <v>340</v>
      </c>
      <c r="M142" s="316" t="s">
        <v>341</v>
      </c>
      <c r="N142" s="316" t="s">
        <v>235</v>
      </c>
      <c r="O142" s="316" t="s">
        <v>342</v>
      </c>
      <c r="P142" s="316" t="s">
        <v>229</v>
      </c>
      <c r="Q142" s="317"/>
      <c r="S142" s="321"/>
      <c r="T142" s="321"/>
      <c r="U142" s="321"/>
      <c r="V142" s="321"/>
      <c r="W142" s="323" t="s">
        <v>330</v>
      </c>
      <c r="X142" s="316" t="s">
        <v>357</v>
      </c>
      <c r="Y142" s="362" t="s">
        <v>506</v>
      </c>
      <c r="Z142" s="316" t="s">
        <v>333</v>
      </c>
      <c r="AA142" s="316" t="s">
        <v>334</v>
      </c>
      <c r="AB142" s="316" t="s">
        <v>335</v>
      </c>
      <c r="AC142" s="316" t="s">
        <v>336</v>
      </c>
      <c r="AD142" s="316" t="s">
        <v>337</v>
      </c>
      <c r="AE142" s="316" t="s">
        <v>338</v>
      </c>
      <c r="AF142" s="316" t="s">
        <v>339</v>
      </c>
      <c r="AG142" s="316" t="s">
        <v>340</v>
      </c>
      <c r="AH142" s="316" t="s">
        <v>341</v>
      </c>
      <c r="AI142" s="316" t="s">
        <v>235</v>
      </c>
      <c r="AJ142" s="316" t="s">
        <v>342</v>
      </c>
      <c r="AK142" s="316" t="s">
        <v>229</v>
      </c>
      <c r="AL142" s="317"/>
      <c r="AM142" s="158"/>
      <c r="AN142" s="158"/>
      <c r="AO142" s="158"/>
    </row>
    <row r="143">
      <c r="B143" s="312" t="s">
        <v>519</v>
      </c>
      <c r="C143" s="313"/>
      <c r="D143" s="316">
        <v>1.0</v>
      </c>
      <c r="E143" s="316">
        <v>-511.2</v>
      </c>
      <c r="F143" s="316">
        <v>-508.4</v>
      </c>
      <c r="G143" s="315">
        <f t="shared" ref="G143:G148" si="132">F143-E143</f>
        <v>2.8</v>
      </c>
      <c r="H143" s="316">
        <v>388.6</v>
      </c>
      <c r="I143" s="316">
        <v>411.4</v>
      </c>
      <c r="J143" s="313">
        <f t="shared" ref="J143:J148" si="133">I143-H143</f>
        <v>22.8</v>
      </c>
      <c r="K143" s="316">
        <v>508.4</v>
      </c>
      <c r="L143" s="316">
        <v>508.4</v>
      </c>
      <c r="M143" s="313">
        <f t="shared" ref="M143:M148" si="134">L143+K143</f>
        <v>1016.8</v>
      </c>
      <c r="N143" s="313">
        <f t="shared" ref="N143:N148" si="135">(G143*J143*M143)/1000000</f>
        <v>0.064912512</v>
      </c>
      <c r="O143" s="316">
        <v>7820.0</v>
      </c>
      <c r="P143" s="313">
        <f t="shared" ref="P143:P148" si="136">N143*O143</f>
        <v>507.6158438</v>
      </c>
      <c r="Q143" s="317"/>
      <c r="S143" s="319" t="s">
        <v>358</v>
      </c>
      <c r="T143" s="363" t="s">
        <v>446</v>
      </c>
      <c r="W143" s="312" t="s">
        <v>520</v>
      </c>
      <c r="X143" s="313"/>
      <c r="Y143" s="314">
        <v>1.0</v>
      </c>
      <c r="Z143" s="314">
        <v>-411.4</v>
      </c>
      <c r="AA143" s="314">
        <v>-388.6</v>
      </c>
      <c r="AB143" s="315">
        <f t="shared" ref="AB143:AB148" si="137">AA143-Z143</f>
        <v>22.8</v>
      </c>
      <c r="AC143" s="316">
        <v>535.0</v>
      </c>
      <c r="AD143" s="316">
        <v>535.0</v>
      </c>
      <c r="AE143" s="313">
        <f t="shared" ref="AE143:AE148" si="138">AD143+AC143</f>
        <v>1070</v>
      </c>
      <c r="AF143" s="316">
        <v>-511.2</v>
      </c>
      <c r="AG143" s="316">
        <v>-508.4</v>
      </c>
      <c r="AH143" s="315">
        <f t="shared" ref="AH143:AH148" si="139">AG143-AF143</f>
        <v>2.8</v>
      </c>
      <c r="AI143" s="313">
        <f t="shared" ref="AI143:AI148" si="140">(AB143*AE143*AH143)/1000000</f>
        <v>0.0683088</v>
      </c>
      <c r="AJ143" s="316">
        <v>7820.0</v>
      </c>
      <c r="AK143" s="313">
        <f t="shared" ref="AK143:AK148" si="141">AI143*AJ143</f>
        <v>534.174816</v>
      </c>
      <c r="AL143" s="317"/>
      <c r="AM143" s="158"/>
      <c r="AN143" s="158"/>
      <c r="AO143" s="158"/>
    </row>
    <row r="144">
      <c r="B144" s="323" t="s">
        <v>521</v>
      </c>
      <c r="C144" s="313"/>
      <c r="D144" s="316">
        <v>2.0</v>
      </c>
      <c r="E144" s="316">
        <v>-511.2</v>
      </c>
      <c r="F144" s="316">
        <v>-508.4</v>
      </c>
      <c r="G144" s="315">
        <f t="shared" si="132"/>
        <v>2.8</v>
      </c>
      <c r="H144" s="316">
        <v>228.6</v>
      </c>
      <c r="I144" s="316">
        <v>251.4</v>
      </c>
      <c r="J144" s="313">
        <f t="shared" si="133"/>
        <v>22.8</v>
      </c>
      <c r="K144" s="316">
        <v>508.4</v>
      </c>
      <c r="L144" s="316">
        <v>508.4</v>
      </c>
      <c r="M144" s="313">
        <f t="shared" si="134"/>
        <v>1016.8</v>
      </c>
      <c r="N144" s="313">
        <f t="shared" si="135"/>
        <v>0.064912512</v>
      </c>
      <c r="O144" s="316">
        <v>7820.0</v>
      </c>
      <c r="P144" s="313">
        <f t="shared" si="136"/>
        <v>507.6158438</v>
      </c>
      <c r="Q144" s="317"/>
      <c r="S144" s="319" t="s">
        <v>361</v>
      </c>
      <c r="T144" s="363" t="s">
        <v>446</v>
      </c>
      <c r="W144" s="312" t="s">
        <v>522</v>
      </c>
      <c r="X144" s="313"/>
      <c r="Y144" s="314">
        <v>2.0</v>
      </c>
      <c r="Z144" s="314">
        <v>-251.4</v>
      </c>
      <c r="AA144" s="314">
        <v>-228.6</v>
      </c>
      <c r="AB144" s="315">
        <f t="shared" si="137"/>
        <v>22.8</v>
      </c>
      <c r="AC144" s="316">
        <v>535.0</v>
      </c>
      <c r="AD144" s="316">
        <v>535.0</v>
      </c>
      <c r="AE144" s="313">
        <f t="shared" si="138"/>
        <v>1070</v>
      </c>
      <c r="AF144" s="316">
        <v>-511.2</v>
      </c>
      <c r="AG144" s="316">
        <v>-508.4</v>
      </c>
      <c r="AH144" s="315">
        <f t="shared" si="139"/>
        <v>2.8</v>
      </c>
      <c r="AI144" s="313">
        <f t="shared" si="140"/>
        <v>0.0683088</v>
      </c>
      <c r="AJ144" s="316">
        <v>7820.0</v>
      </c>
      <c r="AK144" s="313">
        <f t="shared" si="141"/>
        <v>534.174816</v>
      </c>
      <c r="AL144" s="317"/>
      <c r="AM144" s="158"/>
      <c r="AN144" s="158"/>
      <c r="AO144" s="158"/>
    </row>
    <row r="145">
      <c r="B145" s="323" t="s">
        <v>523</v>
      </c>
      <c r="C145" s="313"/>
      <c r="D145" s="316">
        <v>3.0</v>
      </c>
      <c r="E145" s="316">
        <v>-511.2</v>
      </c>
      <c r="F145" s="316">
        <v>-508.4</v>
      </c>
      <c r="G145" s="315">
        <f t="shared" si="132"/>
        <v>2.8</v>
      </c>
      <c r="H145" s="316">
        <v>68.6</v>
      </c>
      <c r="I145" s="316">
        <v>91.4</v>
      </c>
      <c r="J145" s="313">
        <f t="shared" si="133"/>
        <v>22.8</v>
      </c>
      <c r="K145" s="316">
        <v>508.4</v>
      </c>
      <c r="L145" s="316">
        <v>508.4</v>
      </c>
      <c r="M145" s="313">
        <f t="shared" si="134"/>
        <v>1016.8</v>
      </c>
      <c r="N145" s="313">
        <f t="shared" si="135"/>
        <v>0.064912512</v>
      </c>
      <c r="O145" s="316">
        <v>7820.0</v>
      </c>
      <c r="P145" s="313">
        <f t="shared" si="136"/>
        <v>507.6158438</v>
      </c>
      <c r="Q145" s="317"/>
      <c r="S145" s="319" t="s">
        <v>363</v>
      </c>
      <c r="T145" s="363" t="s">
        <v>446</v>
      </c>
      <c r="W145" s="312" t="s">
        <v>524</v>
      </c>
      <c r="X145" s="313"/>
      <c r="Y145" s="314">
        <v>3.0</v>
      </c>
      <c r="Z145" s="314">
        <v>-91.4</v>
      </c>
      <c r="AA145" s="314">
        <v>-68.6</v>
      </c>
      <c r="AB145" s="315">
        <f t="shared" si="137"/>
        <v>22.8</v>
      </c>
      <c r="AC145" s="316">
        <v>535.0</v>
      </c>
      <c r="AD145" s="316">
        <v>535.0</v>
      </c>
      <c r="AE145" s="313">
        <f t="shared" si="138"/>
        <v>1070</v>
      </c>
      <c r="AF145" s="316">
        <v>-511.2</v>
      </c>
      <c r="AG145" s="316">
        <v>-508.4</v>
      </c>
      <c r="AH145" s="315">
        <f t="shared" si="139"/>
        <v>2.8</v>
      </c>
      <c r="AI145" s="313">
        <f t="shared" si="140"/>
        <v>0.0683088</v>
      </c>
      <c r="AJ145" s="316">
        <v>7820.0</v>
      </c>
      <c r="AK145" s="313">
        <f t="shared" si="141"/>
        <v>534.174816</v>
      </c>
      <c r="AL145" s="317"/>
      <c r="AM145" s="158"/>
      <c r="AN145" s="158"/>
      <c r="AO145" s="158"/>
    </row>
    <row r="146">
      <c r="B146" s="323" t="s">
        <v>525</v>
      </c>
      <c r="C146" s="313"/>
      <c r="D146" s="316">
        <v>4.0</v>
      </c>
      <c r="E146" s="316">
        <v>-511.2</v>
      </c>
      <c r="F146" s="316">
        <v>-508.4</v>
      </c>
      <c r="G146" s="315">
        <f t="shared" si="132"/>
        <v>2.8</v>
      </c>
      <c r="H146" s="316">
        <v>-91.4</v>
      </c>
      <c r="I146" s="316">
        <v>-68.6</v>
      </c>
      <c r="J146" s="313">
        <f t="shared" si="133"/>
        <v>22.8</v>
      </c>
      <c r="K146" s="316">
        <v>508.4</v>
      </c>
      <c r="L146" s="316">
        <v>508.4</v>
      </c>
      <c r="M146" s="313">
        <f t="shared" si="134"/>
        <v>1016.8</v>
      </c>
      <c r="N146" s="313">
        <f t="shared" si="135"/>
        <v>0.064912512</v>
      </c>
      <c r="O146" s="316">
        <v>7820.0</v>
      </c>
      <c r="P146" s="313">
        <f t="shared" si="136"/>
        <v>507.6158438</v>
      </c>
      <c r="Q146" s="317"/>
      <c r="S146" s="319" t="s">
        <v>365</v>
      </c>
      <c r="T146" s="363" t="s">
        <v>446</v>
      </c>
      <c r="W146" s="312" t="s">
        <v>526</v>
      </c>
      <c r="X146" s="313"/>
      <c r="Y146" s="314">
        <v>4.0</v>
      </c>
      <c r="Z146" s="314">
        <v>68.6</v>
      </c>
      <c r="AA146" s="314">
        <v>91.4</v>
      </c>
      <c r="AB146" s="315">
        <f t="shared" si="137"/>
        <v>22.8</v>
      </c>
      <c r="AC146" s="316">
        <v>535.0</v>
      </c>
      <c r="AD146" s="316">
        <v>535.0</v>
      </c>
      <c r="AE146" s="313">
        <f t="shared" si="138"/>
        <v>1070</v>
      </c>
      <c r="AF146" s="316">
        <v>-511.2</v>
      </c>
      <c r="AG146" s="316">
        <v>-508.4</v>
      </c>
      <c r="AH146" s="315">
        <f t="shared" si="139"/>
        <v>2.8</v>
      </c>
      <c r="AI146" s="313">
        <f t="shared" si="140"/>
        <v>0.0683088</v>
      </c>
      <c r="AJ146" s="316">
        <v>7820.0</v>
      </c>
      <c r="AK146" s="313">
        <f t="shared" si="141"/>
        <v>534.174816</v>
      </c>
      <c r="AL146" s="317"/>
      <c r="AM146" s="158"/>
      <c r="AN146" s="158"/>
      <c r="AO146" s="158"/>
    </row>
    <row r="147">
      <c r="B147" s="323" t="s">
        <v>527</v>
      </c>
      <c r="C147" s="313"/>
      <c r="D147" s="316">
        <v>5.0</v>
      </c>
      <c r="E147" s="316">
        <v>-511.2</v>
      </c>
      <c r="F147" s="316">
        <v>-508.4</v>
      </c>
      <c r="G147" s="315">
        <f t="shared" si="132"/>
        <v>2.8</v>
      </c>
      <c r="H147" s="316">
        <v>-251.4</v>
      </c>
      <c r="I147" s="316">
        <v>-228.6</v>
      </c>
      <c r="J147" s="313">
        <f t="shared" si="133"/>
        <v>22.8</v>
      </c>
      <c r="K147" s="316">
        <v>508.4</v>
      </c>
      <c r="L147" s="316">
        <v>508.4</v>
      </c>
      <c r="M147" s="313">
        <f t="shared" si="134"/>
        <v>1016.8</v>
      </c>
      <c r="N147" s="313">
        <f t="shared" si="135"/>
        <v>0.064912512</v>
      </c>
      <c r="O147" s="316">
        <v>7820.0</v>
      </c>
      <c r="P147" s="313">
        <f t="shared" si="136"/>
        <v>507.6158438</v>
      </c>
      <c r="Q147" s="317"/>
      <c r="S147" s="319" t="s">
        <v>367</v>
      </c>
      <c r="T147" s="363" t="s">
        <v>446</v>
      </c>
      <c r="W147" s="312" t="s">
        <v>528</v>
      </c>
      <c r="X147" s="313"/>
      <c r="Y147" s="314">
        <v>5.0</v>
      </c>
      <c r="Z147" s="314">
        <v>228.6</v>
      </c>
      <c r="AA147" s="314">
        <v>251.4</v>
      </c>
      <c r="AB147" s="315">
        <f t="shared" si="137"/>
        <v>22.8</v>
      </c>
      <c r="AC147" s="316">
        <v>535.0</v>
      </c>
      <c r="AD147" s="316">
        <v>535.0</v>
      </c>
      <c r="AE147" s="313">
        <f t="shared" si="138"/>
        <v>1070</v>
      </c>
      <c r="AF147" s="316">
        <v>-511.2</v>
      </c>
      <c r="AG147" s="316">
        <v>-508.4</v>
      </c>
      <c r="AH147" s="315">
        <f t="shared" si="139"/>
        <v>2.8</v>
      </c>
      <c r="AI147" s="313">
        <f t="shared" si="140"/>
        <v>0.0683088</v>
      </c>
      <c r="AJ147" s="316">
        <v>7820.0</v>
      </c>
      <c r="AK147" s="313">
        <f t="shared" si="141"/>
        <v>534.174816</v>
      </c>
      <c r="AL147" s="317"/>
      <c r="AM147" s="158"/>
      <c r="AN147" s="158"/>
      <c r="AO147" s="158"/>
    </row>
    <row r="148">
      <c r="B148" s="323" t="s">
        <v>529</v>
      </c>
      <c r="C148" s="313"/>
      <c r="D148" s="316">
        <v>6.0</v>
      </c>
      <c r="E148" s="316">
        <v>-511.2</v>
      </c>
      <c r="F148" s="316">
        <v>-508.4</v>
      </c>
      <c r="G148" s="315">
        <f t="shared" si="132"/>
        <v>2.8</v>
      </c>
      <c r="H148" s="316">
        <v>-411.4</v>
      </c>
      <c r="I148" s="316">
        <v>-388.6</v>
      </c>
      <c r="J148" s="313">
        <f t="shared" si="133"/>
        <v>22.8</v>
      </c>
      <c r="K148" s="316">
        <v>508.4</v>
      </c>
      <c r="L148" s="316">
        <v>508.4</v>
      </c>
      <c r="M148" s="313">
        <f t="shared" si="134"/>
        <v>1016.8</v>
      </c>
      <c r="N148" s="313">
        <f t="shared" si="135"/>
        <v>0.064912512</v>
      </c>
      <c r="O148" s="316">
        <v>7820.0</v>
      </c>
      <c r="P148" s="313">
        <f t="shared" si="136"/>
        <v>507.6158438</v>
      </c>
      <c r="Q148" s="317"/>
      <c r="S148" s="319" t="s">
        <v>369</v>
      </c>
      <c r="T148" s="363" t="s">
        <v>446</v>
      </c>
      <c r="U148" s="319"/>
      <c r="V148" s="319"/>
      <c r="W148" s="312" t="s">
        <v>530</v>
      </c>
      <c r="X148" s="313"/>
      <c r="Y148" s="314">
        <v>6.0</v>
      </c>
      <c r="Z148" s="314">
        <v>388.6</v>
      </c>
      <c r="AA148" s="314">
        <v>411.4</v>
      </c>
      <c r="AB148" s="315">
        <f t="shared" si="137"/>
        <v>22.8</v>
      </c>
      <c r="AC148" s="316">
        <v>535.0</v>
      </c>
      <c r="AD148" s="316">
        <v>535.0</v>
      </c>
      <c r="AE148" s="313">
        <f t="shared" si="138"/>
        <v>1070</v>
      </c>
      <c r="AF148" s="316">
        <v>-511.2</v>
      </c>
      <c r="AG148" s="316">
        <v>-508.4</v>
      </c>
      <c r="AH148" s="315">
        <f t="shared" si="139"/>
        <v>2.8</v>
      </c>
      <c r="AI148" s="313">
        <f t="shared" si="140"/>
        <v>0.0683088</v>
      </c>
      <c r="AJ148" s="316">
        <v>7820.0</v>
      </c>
      <c r="AK148" s="313">
        <f t="shared" si="141"/>
        <v>534.174816</v>
      </c>
      <c r="AL148" s="317"/>
      <c r="AM148" s="158"/>
      <c r="AN148" s="158"/>
      <c r="AO148" s="158"/>
    </row>
    <row r="149">
      <c r="B149" s="320"/>
      <c r="C149" s="313"/>
      <c r="D149" s="316" t="s">
        <v>294</v>
      </c>
      <c r="E149" s="313"/>
      <c r="F149" s="313"/>
      <c r="G149" s="313"/>
      <c r="H149" s="313"/>
      <c r="I149" s="313"/>
      <c r="J149" s="313"/>
      <c r="K149" s="313"/>
      <c r="L149" s="313"/>
      <c r="M149" s="313"/>
      <c r="N149" s="313">
        <f>SUM(N143:N148)</f>
        <v>0.389475072</v>
      </c>
      <c r="O149" s="313"/>
      <c r="P149" s="313">
        <f>SUM(P143:P148)</f>
        <v>3045.695063</v>
      </c>
      <c r="Q149" s="317"/>
      <c r="S149" s="321"/>
      <c r="T149" s="321"/>
      <c r="U149" s="321"/>
      <c r="V149" s="321"/>
      <c r="W149" s="320"/>
      <c r="X149" s="313"/>
      <c r="Y149" s="316" t="s">
        <v>294</v>
      </c>
      <c r="Z149" s="313"/>
      <c r="AA149" s="313"/>
      <c r="AB149" s="313"/>
      <c r="AC149" s="313"/>
      <c r="AD149" s="313"/>
      <c r="AE149" s="313"/>
      <c r="AF149" s="313"/>
      <c r="AG149" s="313"/>
      <c r="AH149" s="313"/>
      <c r="AI149" s="313">
        <f>SUM(AI143:AI148)</f>
        <v>0.4098528</v>
      </c>
      <c r="AJ149" s="313"/>
      <c r="AK149" s="313">
        <f>SUM(AK143:AK148)</f>
        <v>3205.048896</v>
      </c>
      <c r="AL149" s="317"/>
      <c r="AM149" s="158">
        <f>N149+AI149</f>
        <v>0.799327872</v>
      </c>
      <c r="AN149" s="158"/>
      <c r="AO149" s="158"/>
    </row>
    <row r="150">
      <c r="B150" s="324"/>
      <c r="C150" s="325"/>
      <c r="D150" s="325"/>
      <c r="E150" s="325"/>
      <c r="F150" s="325"/>
      <c r="G150" s="325"/>
      <c r="H150" s="325"/>
      <c r="I150" s="325"/>
      <c r="J150" s="325"/>
      <c r="K150" s="325"/>
      <c r="L150" s="325"/>
      <c r="M150" s="325"/>
      <c r="N150" s="325"/>
      <c r="O150" s="325"/>
      <c r="P150" s="325">
        <f>P149/1000</f>
        <v>3.045695063</v>
      </c>
      <c r="Q150" s="326" t="s">
        <v>371</v>
      </c>
      <c r="S150" s="321"/>
      <c r="T150" s="321"/>
      <c r="U150" s="321"/>
      <c r="V150" s="321"/>
      <c r="W150" s="324"/>
      <c r="X150" s="325"/>
      <c r="Y150" s="325"/>
      <c r="Z150" s="325"/>
      <c r="AA150" s="325"/>
      <c r="AB150" s="325"/>
      <c r="AC150" s="325"/>
      <c r="AD150" s="325"/>
      <c r="AE150" s="325"/>
      <c r="AF150" s="325"/>
      <c r="AG150" s="325"/>
      <c r="AH150" s="325"/>
      <c r="AI150" s="325"/>
      <c r="AJ150" s="325"/>
      <c r="AK150" s="325">
        <f>AK149/1000</f>
        <v>3.205048896</v>
      </c>
      <c r="AL150" s="326" t="s">
        <v>371</v>
      </c>
      <c r="AM150" s="307"/>
      <c r="AN150" s="307"/>
      <c r="AO150" s="307"/>
    </row>
    <row r="151">
      <c r="Q151" s="44"/>
      <c r="S151" s="321"/>
      <c r="T151" s="321"/>
      <c r="U151" s="321"/>
      <c r="V151" s="321"/>
      <c r="AM151" s="158"/>
      <c r="AN151" s="158"/>
      <c r="AO151" s="158"/>
    </row>
    <row r="152">
      <c r="B152" s="327" t="s">
        <v>330</v>
      </c>
      <c r="C152" s="328" t="s">
        <v>372</v>
      </c>
      <c r="D152" s="362" t="s">
        <v>506</v>
      </c>
      <c r="E152" s="328" t="s">
        <v>333</v>
      </c>
      <c r="F152" s="328" t="s">
        <v>334</v>
      </c>
      <c r="G152" s="328" t="s">
        <v>335</v>
      </c>
      <c r="H152" s="328" t="s">
        <v>336</v>
      </c>
      <c r="I152" s="328" t="s">
        <v>337</v>
      </c>
      <c r="J152" s="328" t="s">
        <v>338</v>
      </c>
      <c r="K152" s="328" t="s">
        <v>339</v>
      </c>
      <c r="L152" s="328" t="s">
        <v>340</v>
      </c>
      <c r="M152" s="328" t="s">
        <v>341</v>
      </c>
      <c r="N152" s="328" t="s">
        <v>235</v>
      </c>
      <c r="O152" s="328" t="s">
        <v>342</v>
      </c>
      <c r="P152" s="328" t="s">
        <v>229</v>
      </c>
      <c r="Q152" s="329"/>
      <c r="S152" s="321"/>
      <c r="T152" s="321"/>
      <c r="U152" s="321"/>
      <c r="V152" s="321"/>
      <c r="W152" s="327" t="s">
        <v>330</v>
      </c>
      <c r="X152" s="328" t="s">
        <v>372</v>
      </c>
      <c r="Y152" s="364" t="s">
        <v>506</v>
      </c>
      <c r="Z152" s="328" t="s">
        <v>333</v>
      </c>
      <c r="AA152" s="328" t="s">
        <v>334</v>
      </c>
      <c r="AB152" s="328" t="s">
        <v>335</v>
      </c>
      <c r="AC152" s="328" t="s">
        <v>336</v>
      </c>
      <c r="AD152" s="328" t="s">
        <v>337</v>
      </c>
      <c r="AE152" s="328" t="s">
        <v>338</v>
      </c>
      <c r="AF152" s="328" t="s">
        <v>339</v>
      </c>
      <c r="AG152" s="328" t="s">
        <v>340</v>
      </c>
      <c r="AH152" s="328" t="s">
        <v>341</v>
      </c>
      <c r="AI152" s="328" t="s">
        <v>235</v>
      </c>
      <c r="AJ152" s="328" t="s">
        <v>342</v>
      </c>
      <c r="AK152" s="328" t="s">
        <v>229</v>
      </c>
      <c r="AL152" s="329"/>
      <c r="AM152" s="158"/>
      <c r="AN152" s="158"/>
      <c r="AO152" s="158"/>
    </row>
    <row r="153">
      <c r="B153" s="330" t="s">
        <v>531</v>
      </c>
      <c r="C153" s="331"/>
      <c r="D153" s="332">
        <v>1.0</v>
      </c>
      <c r="E153" s="333">
        <v>570.2</v>
      </c>
      <c r="F153" s="333">
        <v>570.2</v>
      </c>
      <c r="G153" s="334">
        <v>1140.4</v>
      </c>
      <c r="H153" s="332">
        <v>535.0</v>
      </c>
      <c r="I153" s="332">
        <v>537.8</v>
      </c>
      <c r="J153" s="331">
        <f t="shared" ref="J153:J158" si="142">I153-H153</f>
        <v>2.8</v>
      </c>
      <c r="K153" s="332">
        <v>-411.4</v>
      </c>
      <c r="L153" s="332">
        <v>-388.6</v>
      </c>
      <c r="M153" s="331">
        <f t="shared" ref="M153:M158" si="143">L153-K153</f>
        <v>22.8</v>
      </c>
      <c r="N153" s="331">
        <f t="shared" ref="N153:N158" si="144">(G153*J153*M153)/1000000</f>
        <v>0.072803136</v>
      </c>
      <c r="O153" s="332">
        <v>7820.0</v>
      </c>
      <c r="P153" s="331">
        <f t="shared" ref="P153:P158" si="145">N153*O153</f>
        <v>569.3205235</v>
      </c>
      <c r="Q153" s="335"/>
      <c r="S153" s="319" t="s">
        <v>374</v>
      </c>
      <c r="T153" s="319" t="s">
        <v>375</v>
      </c>
      <c r="W153" s="330" t="s">
        <v>532</v>
      </c>
      <c r="X153" s="331"/>
      <c r="Y153" s="332">
        <v>1.0</v>
      </c>
      <c r="Z153" s="333">
        <v>388.6</v>
      </c>
      <c r="AA153" s="333">
        <v>411.4</v>
      </c>
      <c r="AB153" s="334">
        <f t="shared" ref="AB153:AB158" si="146">AA153-Z153</f>
        <v>22.8</v>
      </c>
      <c r="AC153" s="332">
        <v>535.0</v>
      </c>
      <c r="AD153" s="332">
        <v>537.8</v>
      </c>
      <c r="AE153" s="331">
        <f t="shared" ref="AE153:AE158" si="147">AD153-AC153</f>
        <v>2.8</v>
      </c>
      <c r="AF153" s="333">
        <v>570.2</v>
      </c>
      <c r="AG153" s="333">
        <v>570.2</v>
      </c>
      <c r="AH153" s="334">
        <v>1140.4</v>
      </c>
      <c r="AI153" s="331">
        <f t="shared" ref="AI153:AI158" si="148">(AB153*AE153*AH153)/1000000</f>
        <v>0.072803136</v>
      </c>
      <c r="AJ153" s="332">
        <v>7820.0</v>
      </c>
      <c r="AK153" s="331">
        <f t="shared" ref="AK153:AK158" si="149">AI153*AJ153</f>
        <v>569.3205235</v>
      </c>
      <c r="AL153" s="335"/>
      <c r="AM153" s="158"/>
      <c r="AN153" s="158"/>
      <c r="AO153" s="158"/>
    </row>
    <row r="154">
      <c r="B154" s="330" t="s">
        <v>533</v>
      </c>
      <c r="C154" s="331"/>
      <c r="D154" s="332">
        <v>2.0</v>
      </c>
      <c r="E154" s="333">
        <v>570.2</v>
      </c>
      <c r="F154" s="333">
        <v>570.2</v>
      </c>
      <c r="G154" s="334">
        <v>1140.4</v>
      </c>
      <c r="H154" s="332">
        <v>535.0</v>
      </c>
      <c r="I154" s="332">
        <v>537.8</v>
      </c>
      <c r="J154" s="331">
        <f t="shared" si="142"/>
        <v>2.8</v>
      </c>
      <c r="K154" s="332">
        <v>-251.4</v>
      </c>
      <c r="L154" s="332">
        <v>-228.6</v>
      </c>
      <c r="M154" s="331">
        <f t="shared" si="143"/>
        <v>22.8</v>
      </c>
      <c r="N154" s="331">
        <f t="shared" si="144"/>
        <v>0.072803136</v>
      </c>
      <c r="O154" s="332">
        <v>7820.0</v>
      </c>
      <c r="P154" s="331">
        <f t="shared" si="145"/>
        <v>569.3205235</v>
      </c>
      <c r="Q154" s="335"/>
      <c r="S154" s="319" t="s">
        <v>377</v>
      </c>
      <c r="T154" s="319" t="s">
        <v>375</v>
      </c>
      <c r="W154" s="330" t="s">
        <v>534</v>
      </c>
      <c r="X154" s="331"/>
      <c r="Y154" s="332">
        <v>2.0</v>
      </c>
      <c r="Z154" s="333">
        <v>228.6</v>
      </c>
      <c r="AA154" s="333">
        <v>251.4</v>
      </c>
      <c r="AB154" s="334">
        <f t="shared" si="146"/>
        <v>22.8</v>
      </c>
      <c r="AC154" s="332">
        <v>535.0</v>
      </c>
      <c r="AD154" s="332">
        <v>537.8</v>
      </c>
      <c r="AE154" s="331">
        <f t="shared" si="147"/>
        <v>2.8</v>
      </c>
      <c r="AF154" s="333">
        <v>570.2</v>
      </c>
      <c r="AG154" s="333">
        <v>570.2</v>
      </c>
      <c r="AH154" s="334">
        <v>1140.4</v>
      </c>
      <c r="AI154" s="331">
        <f t="shared" si="148"/>
        <v>0.072803136</v>
      </c>
      <c r="AJ154" s="332">
        <v>7820.0</v>
      </c>
      <c r="AK154" s="331">
        <f t="shared" si="149"/>
        <v>569.3205235</v>
      </c>
      <c r="AL154" s="335"/>
      <c r="AM154" s="158"/>
      <c r="AN154" s="158"/>
      <c r="AO154" s="158"/>
    </row>
    <row r="155">
      <c r="B155" s="330" t="s">
        <v>535</v>
      </c>
      <c r="C155" s="331"/>
      <c r="D155" s="332">
        <v>3.0</v>
      </c>
      <c r="E155" s="333">
        <v>570.2</v>
      </c>
      <c r="F155" s="333">
        <v>570.2</v>
      </c>
      <c r="G155" s="334">
        <v>1140.4</v>
      </c>
      <c r="H155" s="332">
        <v>535.0</v>
      </c>
      <c r="I155" s="332">
        <v>537.8</v>
      </c>
      <c r="J155" s="331">
        <f t="shared" si="142"/>
        <v>2.8</v>
      </c>
      <c r="K155" s="332">
        <v>-91.4</v>
      </c>
      <c r="L155" s="332">
        <v>-68.6</v>
      </c>
      <c r="M155" s="331">
        <f t="shared" si="143"/>
        <v>22.8</v>
      </c>
      <c r="N155" s="331">
        <f t="shared" si="144"/>
        <v>0.072803136</v>
      </c>
      <c r="O155" s="332">
        <v>7820.0</v>
      </c>
      <c r="P155" s="331">
        <f t="shared" si="145"/>
        <v>569.3205235</v>
      </c>
      <c r="Q155" s="335"/>
      <c r="S155" s="319" t="s">
        <v>379</v>
      </c>
      <c r="T155" s="319" t="s">
        <v>375</v>
      </c>
      <c r="W155" s="330" t="s">
        <v>536</v>
      </c>
      <c r="X155" s="331"/>
      <c r="Y155" s="332">
        <v>3.0</v>
      </c>
      <c r="Z155" s="333">
        <v>68.6</v>
      </c>
      <c r="AA155" s="333">
        <v>91.4</v>
      </c>
      <c r="AB155" s="334">
        <f t="shared" si="146"/>
        <v>22.8</v>
      </c>
      <c r="AC155" s="332">
        <v>535.0</v>
      </c>
      <c r="AD155" s="332">
        <v>537.8</v>
      </c>
      <c r="AE155" s="331">
        <f t="shared" si="147"/>
        <v>2.8</v>
      </c>
      <c r="AF155" s="333">
        <v>570.2</v>
      </c>
      <c r="AG155" s="333">
        <v>570.2</v>
      </c>
      <c r="AH155" s="334">
        <v>1140.4</v>
      </c>
      <c r="AI155" s="331">
        <f t="shared" si="148"/>
        <v>0.072803136</v>
      </c>
      <c r="AJ155" s="332">
        <v>7820.0</v>
      </c>
      <c r="AK155" s="331">
        <f t="shared" si="149"/>
        <v>569.3205235</v>
      </c>
      <c r="AL155" s="335"/>
      <c r="AM155" s="158"/>
      <c r="AN155" s="158"/>
      <c r="AO155" s="158"/>
    </row>
    <row r="156">
      <c r="B156" s="330" t="s">
        <v>537</v>
      </c>
      <c r="C156" s="331"/>
      <c r="D156" s="332">
        <v>4.0</v>
      </c>
      <c r="E156" s="333">
        <v>570.2</v>
      </c>
      <c r="F156" s="333">
        <v>570.2</v>
      </c>
      <c r="G156" s="334">
        <v>1140.4</v>
      </c>
      <c r="H156" s="332">
        <v>535.0</v>
      </c>
      <c r="I156" s="332">
        <v>537.8</v>
      </c>
      <c r="J156" s="331">
        <f t="shared" si="142"/>
        <v>2.8</v>
      </c>
      <c r="K156" s="332">
        <v>68.6</v>
      </c>
      <c r="L156" s="332">
        <v>91.4</v>
      </c>
      <c r="M156" s="331">
        <f t="shared" si="143"/>
        <v>22.8</v>
      </c>
      <c r="N156" s="331">
        <f t="shared" si="144"/>
        <v>0.072803136</v>
      </c>
      <c r="O156" s="332">
        <v>7820.0</v>
      </c>
      <c r="P156" s="331">
        <f t="shared" si="145"/>
        <v>569.3205235</v>
      </c>
      <c r="Q156" s="335"/>
      <c r="S156" s="319" t="s">
        <v>381</v>
      </c>
      <c r="T156" s="319" t="s">
        <v>375</v>
      </c>
      <c r="W156" s="330" t="s">
        <v>538</v>
      </c>
      <c r="X156" s="331"/>
      <c r="Y156" s="332">
        <v>4.0</v>
      </c>
      <c r="Z156" s="333">
        <v>-91.4</v>
      </c>
      <c r="AA156" s="333">
        <v>-68.6</v>
      </c>
      <c r="AB156" s="334">
        <f t="shared" si="146"/>
        <v>22.8</v>
      </c>
      <c r="AC156" s="332">
        <v>535.0</v>
      </c>
      <c r="AD156" s="332">
        <v>537.8</v>
      </c>
      <c r="AE156" s="331">
        <f t="shared" si="147"/>
        <v>2.8</v>
      </c>
      <c r="AF156" s="333">
        <v>570.2</v>
      </c>
      <c r="AG156" s="333">
        <v>570.2</v>
      </c>
      <c r="AH156" s="334">
        <v>1140.4</v>
      </c>
      <c r="AI156" s="331">
        <f t="shared" si="148"/>
        <v>0.072803136</v>
      </c>
      <c r="AJ156" s="332">
        <v>7820.0</v>
      </c>
      <c r="AK156" s="331">
        <f t="shared" si="149"/>
        <v>569.3205235</v>
      </c>
      <c r="AL156" s="335"/>
      <c r="AM156" s="158"/>
      <c r="AN156" s="158"/>
      <c r="AO156" s="158"/>
    </row>
    <row r="157">
      <c r="B157" s="330" t="s">
        <v>539</v>
      </c>
      <c r="C157" s="331"/>
      <c r="D157" s="332">
        <v>5.0</v>
      </c>
      <c r="E157" s="333">
        <v>570.2</v>
      </c>
      <c r="F157" s="333">
        <v>570.2</v>
      </c>
      <c r="G157" s="334">
        <v>1140.4</v>
      </c>
      <c r="H157" s="332">
        <v>535.0</v>
      </c>
      <c r="I157" s="332">
        <v>537.8</v>
      </c>
      <c r="J157" s="331">
        <f t="shared" si="142"/>
        <v>2.8</v>
      </c>
      <c r="K157" s="332">
        <v>228.6</v>
      </c>
      <c r="L157" s="332">
        <v>251.4</v>
      </c>
      <c r="M157" s="331">
        <f t="shared" si="143"/>
        <v>22.8</v>
      </c>
      <c r="N157" s="331">
        <f t="shared" si="144"/>
        <v>0.072803136</v>
      </c>
      <c r="O157" s="332">
        <v>7820.0</v>
      </c>
      <c r="P157" s="331">
        <f t="shared" si="145"/>
        <v>569.3205235</v>
      </c>
      <c r="Q157" s="335"/>
      <c r="S157" s="319" t="s">
        <v>383</v>
      </c>
      <c r="T157" s="319" t="s">
        <v>375</v>
      </c>
      <c r="W157" s="330" t="s">
        <v>540</v>
      </c>
      <c r="X157" s="331"/>
      <c r="Y157" s="332">
        <v>5.0</v>
      </c>
      <c r="Z157" s="333">
        <v>-251.4</v>
      </c>
      <c r="AA157" s="333">
        <v>-228.6</v>
      </c>
      <c r="AB157" s="334">
        <f t="shared" si="146"/>
        <v>22.8</v>
      </c>
      <c r="AC157" s="332">
        <v>535.0</v>
      </c>
      <c r="AD157" s="332">
        <v>537.8</v>
      </c>
      <c r="AE157" s="331">
        <f t="shared" si="147"/>
        <v>2.8</v>
      </c>
      <c r="AF157" s="333">
        <v>570.2</v>
      </c>
      <c r="AG157" s="333">
        <v>570.2</v>
      </c>
      <c r="AH157" s="334">
        <v>1140.4</v>
      </c>
      <c r="AI157" s="331">
        <f t="shared" si="148"/>
        <v>0.072803136</v>
      </c>
      <c r="AJ157" s="332">
        <v>7820.0</v>
      </c>
      <c r="AK157" s="331">
        <f t="shared" si="149"/>
        <v>569.3205235</v>
      </c>
      <c r="AL157" s="335"/>
      <c r="AM157" s="158"/>
      <c r="AN157" s="158"/>
      <c r="AO157" s="158"/>
    </row>
    <row r="158">
      <c r="B158" s="330" t="s">
        <v>541</v>
      </c>
      <c r="C158" s="331"/>
      <c r="D158" s="332">
        <v>6.0</v>
      </c>
      <c r="E158" s="333">
        <v>570.2</v>
      </c>
      <c r="F158" s="333">
        <v>570.2</v>
      </c>
      <c r="G158" s="334">
        <v>1140.4</v>
      </c>
      <c r="H158" s="332">
        <v>535.0</v>
      </c>
      <c r="I158" s="332">
        <v>537.8</v>
      </c>
      <c r="J158" s="331">
        <f t="shared" si="142"/>
        <v>2.8</v>
      </c>
      <c r="K158" s="332">
        <v>388.6</v>
      </c>
      <c r="L158" s="332">
        <v>411.4</v>
      </c>
      <c r="M158" s="331">
        <f t="shared" si="143"/>
        <v>22.8</v>
      </c>
      <c r="N158" s="331">
        <f t="shared" si="144"/>
        <v>0.072803136</v>
      </c>
      <c r="O158" s="332">
        <v>7820.0</v>
      </c>
      <c r="P158" s="331">
        <f t="shared" si="145"/>
        <v>569.3205235</v>
      </c>
      <c r="Q158" s="335"/>
      <c r="S158" s="319" t="s">
        <v>385</v>
      </c>
      <c r="T158" s="319" t="s">
        <v>375</v>
      </c>
      <c r="W158" s="330" t="s">
        <v>542</v>
      </c>
      <c r="X158" s="331"/>
      <c r="Y158" s="332">
        <v>6.0</v>
      </c>
      <c r="Z158" s="333">
        <v>-411.4</v>
      </c>
      <c r="AA158" s="333">
        <v>-388.6</v>
      </c>
      <c r="AB158" s="334">
        <f t="shared" si="146"/>
        <v>22.8</v>
      </c>
      <c r="AC158" s="332">
        <v>535.0</v>
      </c>
      <c r="AD158" s="332">
        <v>537.8</v>
      </c>
      <c r="AE158" s="331">
        <f t="shared" si="147"/>
        <v>2.8</v>
      </c>
      <c r="AF158" s="333">
        <v>570.2</v>
      </c>
      <c r="AG158" s="333">
        <v>570.2</v>
      </c>
      <c r="AH158" s="334">
        <v>1140.4</v>
      </c>
      <c r="AI158" s="331">
        <f t="shared" si="148"/>
        <v>0.072803136</v>
      </c>
      <c r="AJ158" s="332">
        <v>7820.0</v>
      </c>
      <c r="AK158" s="331">
        <f t="shared" si="149"/>
        <v>569.3205235</v>
      </c>
      <c r="AL158" s="335"/>
      <c r="AM158" s="158"/>
      <c r="AN158" s="158"/>
      <c r="AO158" s="158"/>
    </row>
    <row r="159">
      <c r="B159" s="336"/>
      <c r="C159" s="331"/>
      <c r="D159" s="332" t="s">
        <v>294</v>
      </c>
      <c r="E159" s="331"/>
      <c r="F159" s="331"/>
      <c r="G159" s="331"/>
      <c r="H159" s="331"/>
      <c r="I159" s="331"/>
      <c r="J159" s="331"/>
      <c r="K159" s="331"/>
      <c r="L159" s="331"/>
      <c r="M159" s="331"/>
      <c r="N159" s="331">
        <f>SUM(N153:N158)</f>
        <v>0.436818816</v>
      </c>
      <c r="O159" s="331"/>
      <c r="P159" s="331">
        <f>SUM(P153:P158)</f>
        <v>3415.923141</v>
      </c>
      <c r="Q159" s="335"/>
      <c r="S159" s="321"/>
      <c r="T159" s="321"/>
      <c r="U159" s="321"/>
      <c r="V159" s="321"/>
      <c r="W159" s="336"/>
      <c r="X159" s="331"/>
      <c r="Y159" s="332" t="s">
        <v>294</v>
      </c>
      <c r="Z159" s="331"/>
      <c r="AA159" s="331"/>
      <c r="AB159" s="331"/>
      <c r="AC159" s="331"/>
      <c r="AD159" s="331"/>
      <c r="AE159" s="331"/>
      <c r="AF159" s="331"/>
      <c r="AG159" s="331"/>
      <c r="AH159" s="331"/>
      <c r="AI159" s="331">
        <f>SUM(AI153:AI158)</f>
        <v>0.436818816</v>
      </c>
      <c r="AJ159" s="331"/>
      <c r="AK159" s="331">
        <f>SUM(AK153:AK158)</f>
        <v>3415.923141</v>
      </c>
      <c r="AL159" s="335"/>
      <c r="AM159" s="158">
        <f>AI159+N159</f>
        <v>0.873637632</v>
      </c>
      <c r="AN159" s="158"/>
      <c r="AO159" s="158"/>
    </row>
    <row r="160">
      <c r="B160" s="336"/>
      <c r="C160" s="331"/>
      <c r="D160" s="331"/>
      <c r="E160" s="331"/>
      <c r="F160" s="331"/>
      <c r="G160" s="331"/>
      <c r="H160" s="331"/>
      <c r="I160" s="331"/>
      <c r="J160" s="331"/>
      <c r="K160" s="331"/>
      <c r="L160" s="331"/>
      <c r="M160" s="331"/>
      <c r="N160" s="331"/>
      <c r="O160" s="331"/>
      <c r="P160" s="331">
        <f>P159/1000</f>
        <v>3.415923141</v>
      </c>
      <c r="Q160" s="337" t="s">
        <v>371</v>
      </c>
      <c r="S160" s="321"/>
      <c r="T160" s="321"/>
      <c r="U160" s="321"/>
      <c r="V160" s="321"/>
      <c r="W160" s="336"/>
      <c r="X160" s="331"/>
      <c r="Y160" s="331"/>
      <c r="Z160" s="331"/>
      <c r="AA160" s="331"/>
      <c r="AB160" s="331"/>
      <c r="AC160" s="331"/>
      <c r="AD160" s="331"/>
      <c r="AE160" s="331"/>
      <c r="AF160" s="331"/>
      <c r="AG160" s="331"/>
      <c r="AH160" s="331"/>
      <c r="AI160" s="331"/>
      <c r="AJ160" s="331"/>
      <c r="AK160" s="331">
        <f>AK159/1000</f>
        <v>3.415923141</v>
      </c>
      <c r="AL160" s="337" t="s">
        <v>371</v>
      </c>
      <c r="AM160" s="307"/>
      <c r="AN160" s="307"/>
      <c r="AO160" s="307"/>
    </row>
    <row r="161">
      <c r="B161" s="336"/>
      <c r="C161" s="331"/>
      <c r="D161" s="331"/>
      <c r="E161" s="331"/>
      <c r="F161" s="331"/>
      <c r="G161" s="331"/>
      <c r="H161" s="331"/>
      <c r="I161" s="331"/>
      <c r="J161" s="331"/>
      <c r="K161" s="331"/>
      <c r="L161" s="331"/>
      <c r="M161" s="331"/>
      <c r="N161" s="331"/>
      <c r="O161" s="331"/>
      <c r="P161" s="331"/>
      <c r="Q161" s="337"/>
      <c r="S161" s="321"/>
      <c r="T161" s="321"/>
      <c r="U161" s="321"/>
      <c r="V161" s="321"/>
      <c r="W161" s="336"/>
      <c r="X161" s="331"/>
      <c r="Y161" s="331"/>
      <c r="Z161" s="331"/>
      <c r="AA161" s="331"/>
      <c r="AB161" s="331"/>
      <c r="AC161" s="331"/>
      <c r="AD161" s="331"/>
      <c r="AE161" s="331"/>
      <c r="AF161" s="331"/>
      <c r="AG161" s="331"/>
      <c r="AH161" s="331"/>
      <c r="AI161" s="331"/>
      <c r="AJ161" s="331"/>
      <c r="AK161" s="331"/>
      <c r="AL161" s="337"/>
      <c r="AM161" s="307"/>
      <c r="AN161" s="307"/>
      <c r="AO161" s="307"/>
    </row>
    <row r="162">
      <c r="B162" s="338" t="s">
        <v>330</v>
      </c>
      <c r="C162" s="332" t="s">
        <v>386</v>
      </c>
      <c r="D162" s="362" t="s">
        <v>506</v>
      </c>
      <c r="E162" s="332" t="s">
        <v>333</v>
      </c>
      <c r="F162" s="332" t="s">
        <v>334</v>
      </c>
      <c r="G162" s="332" t="s">
        <v>335</v>
      </c>
      <c r="H162" s="332" t="s">
        <v>336</v>
      </c>
      <c r="I162" s="332" t="s">
        <v>337</v>
      </c>
      <c r="J162" s="332" t="s">
        <v>338</v>
      </c>
      <c r="K162" s="332" t="s">
        <v>339</v>
      </c>
      <c r="L162" s="332" t="s">
        <v>340</v>
      </c>
      <c r="M162" s="332" t="s">
        <v>341</v>
      </c>
      <c r="N162" s="332" t="s">
        <v>235</v>
      </c>
      <c r="O162" s="332" t="s">
        <v>342</v>
      </c>
      <c r="P162" s="332" t="s">
        <v>229</v>
      </c>
      <c r="Q162" s="335"/>
      <c r="S162" s="321"/>
      <c r="T162" s="321"/>
      <c r="U162" s="321"/>
      <c r="V162" s="321"/>
      <c r="W162" s="338" t="s">
        <v>330</v>
      </c>
      <c r="X162" s="332" t="s">
        <v>386</v>
      </c>
      <c r="Y162" s="362" t="s">
        <v>506</v>
      </c>
      <c r="Z162" s="332" t="s">
        <v>333</v>
      </c>
      <c r="AA162" s="332" t="s">
        <v>334</v>
      </c>
      <c r="AB162" s="332" t="s">
        <v>335</v>
      </c>
      <c r="AC162" s="332" t="s">
        <v>336</v>
      </c>
      <c r="AD162" s="332" t="s">
        <v>337</v>
      </c>
      <c r="AE162" s="332" t="s">
        <v>338</v>
      </c>
      <c r="AF162" s="332" t="s">
        <v>339</v>
      </c>
      <c r="AG162" s="332" t="s">
        <v>340</v>
      </c>
      <c r="AH162" s="332" t="s">
        <v>341</v>
      </c>
      <c r="AI162" s="332" t="s">
        <v>235</v>
      </c>
      <c r="AJ162" s="332" t="s">
        <v>342</v>
      </c>
      <c r="AK162" s="332" t="s">
        <v>229</v>
      </c>
      <c r="AL162" s="335"/>
      <c r="AM162" s="158"/>
      <c r="AN162" s="158"/>
      <c r="AO162" s="158"/>
    </row>
    <row r="163">
      <c r="B163" s="330" t="s">
        <v>543</v>
      </c>
      <c r="C163" s="331"/>
      <c r="D163" s="332">
        <v>1.0</v>
      </c>
      <c r="E163" s="333">
        <v>508.4</v>
      </c>
      <c r="F163" s="333">
        <v>508.4</v>
      </c>
      <c r="G163" s="334">
        <f t="shared" ref="G163:G168" si="150">SUM(E163:F163)</f>
        <v>1016.8</v>
      </c>
      <c r="H163" s="332">
        <v>478.8</v>
      </c>
      <c r="I163" s="332">
        <v>476.0</v>
      </c>
      <c r="J163" s="331">
        <f t="shared" ref="J163:J168" si="151">H163-I163</f>
        <v>2.8</v>
      </c>
      <c r="K163" s="332">
        <v>-411.4</v>
      </c>
      <c r="L163" s="332">
        <v>-388.6</v>
      </c>
      <c r="M163" s="331">
        <f t="shared" ref="M163:M168" si="152">L163-K163</f>
        <v>22.8</v>
      </c>
      <c r="N163" s="331">
        <f t="shared" ref="N163:N168" si="153">(G163*J163*M163)/1000000</f>
        <v>0.064912512</v>
      </c>
      <c r="O163" s="332">
        <v>7820.0</v>
      </c>
      <c r="P163" s="331">
        <f t="shared" ref="P163:P168" si="154">N163*O163</f>
        <v>507.6158438</v>
      </c>
      <c r="Q163" s="335"/>
      <c r="S163" s="319" t="s">
        <v>388</v>
      </c>
      <c r="T163" s="319" t="s">
        <v>389</v>
      </c>
      <c r="W163" s="330" t="s">
        <v>544</v>
      </c>
      <c r="X163" s="331"/>
      <c r="Y163" s="332">
        <v>1.0</v>
      </c>
      <c r="Z163" s="333">
        <v>388.6</v>
      </c>
      <c r="AA163" s="333">
        <v>411.4</v>
      </c>
      <c r="AB163" s="331">
        <f t="shared" ref="AB163:AB168" si="155">AA163-Z163</f>
        <v>22.8</v>
      </c>
      <c r="AC163" s="332">
        <v>478.8</v>
      </c>
      <c r="AD163" s="332">
        <v>476.0</v>
      </c>
      <c r="AE163" s="331">
        <f t="shared" ref="AE163:AE168" si="156">AC163-AD163</f>
        <v>2.8</v>
      </c>
      <c r="AF163" s="333">
        <v>570.2</v>
      </c>
      <c r="AG163" s="333">
        <v>570.2</v>
      </c>
      <c r="AH163" s="334">
        <v>1140.4</v>
      </c>
      <c r="AI163" s="331">
        <f t="shared" ref="AI163:AI168" si="157">(AB163*AE163*AH163)/1000000</f>
        <v>0.072803136</v>
      </c>
      <c r="AJ163" s="332">
        <v>7820.0</v>
      </c>
      <c r="AK163" s="331">
        <f t="shared" ref="AK163:AK168" si="158">AI163*AJ163</f>
        <v>569.3205235</v>
      </c>
      <c r="AL163" s="335"/>
      <c r="AM163" s="158"/>
      <c r="AN163" s="158"/>
      <c r="AO163" s="158"/>
    </row>
    <row r="164">
      <c r="B164" s="330" t="s">
        <v>545</v>
      </c>
      <c r="C164" s="331"/>
      <c r="D164" s="332">
        <v>2.0</v>
      </c>
      <c r="E164" s="333">
        <v>508.4</v>
      </c>
      <c r="F164" s="333">
        <v>508.4</v>
      </c>
      <c r="G164" s="334">
        <f t="shared" si="150"/>
        <v>1016.8</v>
      </c>
      <c r="H164" s="332">
        <v>478.8</v>
      </c>
      <c r="I164" s="332">
        <v>476.0</v>
      </c>
      <c r="J164" s="331">
        <f t="shared" si="151"/>
        <v>2.8</v>
      </c>
      <c r="K164" s="332">
        <v>-251.4</v>
      </c>
      <c r="L164" s="332">
        <v>-228.6</v>
      </c>
      <c r="M164" s="331">
        <f t="shared" si="152"/>
        <v>22.8</v>
      </c>
      <c r="N164" s="331">
        <f t="shared" si="153"/>
        <v>0.064912512</v>
      </c>
      <c r="O164" s="332">
        <v>7820.0</v>
      </c>
      <c r="P164" s="331">
        <f t="shared" si="154"/>
        <v>507.6158438</v>
      </c>
      <c r="Q164" s="335"/>
      <c r="S164" s="319" t="s">
        <v>391</v>
      </c>
      <c r="T164" s="319" t="s">
        <v>389</v>
      </c>
      <c r="W164" s="330" t="s">
        <v>546</v>
      </c>
      <c r="X164" s="331"/>
      <c r="Y164" s="332">
        <v>2.0</v>
      </c>
      <c r="Z164" s="333">
        <v>228.6</v>
      </c>
      <c r="AA164" s="333">
        <v>251.4</v>
      </c>
      <c r="AB164" s="331">
        <f t="shared" si="155"/>
        <v>22.8</v>
      </c>
      <c r="AC164" s="332">
        <v>478.8</v>
      </c>
      <c r="AD164" s="332">
        <v>476.0</v>
      </c>
      <c r="AE164" s="331">
        <f t="shared" si="156"/>
        <v>2.8</v>
      </c>
      <c r="AF164" s="333">
        <v>570.2</v>
      </c>
      <c r="AG164" s="333">
        <v>570.2</v>
      </c>
      <c r="AH164" s="334">
        <v>1140.4</v>
      </c>
      <c r="AI164" s="331">
        <f t="shared" si="157"/>
        <v>0.072803136</v>
      </c>
      <c r="AJ164" s="332">
        <v>7820.0</v>
      </c>
      <c r="AK164" s="331">
        <f t="shared" si="158"/>
        <v>569.3205235</v>
      </c>
      <c r="AL164" s="335"/>
      <c r="AM164" s="158"/>
      <c r="AN164" s="158"/>
      <c r="AO164" s="158"/>
    </row>
    <row r="165">
      <c r="B165" s="330" t="s">
        <v>547</v>
      </c>
      <c r="C165" s="331"/>
      <c r="D165" s="332">
        <v>3.0</v>
      </c>
      <c r="E165" s="333">
        <v>508.4</v>
      </c>
      <c r="F165" s="333">
        <v>508.4</v>
      </c>
      <c r="G165" s="334">
        <f t="shared" si="150"/>
        <v>1016.8</v>
      </c>
      <c r="H165" s="332">
        <v>478.8</v>
      </c>
      <c r="I165" s="332">
        <v>476.0</v>
      </c>
      <c r="J165" s="331">
        <f t="shared" si="151"/>
        <v>2.8</v>
      </c>
      <c r="K165" s="332">
        <v>-91.4</v>
      </c>
      <c r="L165" s="332">
        <v>-68.6</v>
      </c>
      <c r="M165" s="331">
        <f t="shared" si="152"/>
        <v>22.8</v>
      </c>
      <c r="N165" s="331">
        <f t="shared" si="153"/>
        <v>0.064912512</v>
      </c>
      <c r="O165" s="332">
        <v>7820.0</v>
      </c>
      <c r="P165" s="331">
        <f t="shared" si="154"/>
        <v>507.6158438</v>
      </c>
      <c r="Q165" s="335"/>
      <c r="S165" s="319" t="s">
        <v>393</v>
      </c>
      <c r="T165" s="319" t="s">
        <v>389</v>
      </c>
      <c r="W165" s="330" t="s">
        <v>548</v>
      </c>
      <c r="X165" s="331"/>
      <c r="Y165" s="332">
        <v>3.0</v>
      </c>
      <c r="Z165" s="333">
        <v>68.6</v>
      </c>
      <c r="AA165" s="333">
        <v>91.4</v>
      </c>
      <c r="AB165" s="331">
        <f t="shared" si="155"/>
        <v>22.8</v>
      </c>
      <c r="AC165" s="332">
        <v>478.8</v>
      </c>
      <c r="AD165" s="332">
        <v>476.0</v>
      </c>
      <c r="AE165" s="331">
        <f t="shared" si="156"/>
        <v>2.8</v>
      </c>
      <c r="AF165" s="333">
        <v>570.2</v>
      </c>
      <c r="AG165" s="333">
        <v>570.2</v>
      </c>
      <c r="AH165" s="334">
        <v>1140.4</v>
      </c>
      <c r="AI165" s="331">
        <f t="shared" si="157"/>
        <v>0.072803136</v>
      </c>
      <c r="AJ165" s="332">
        <v>7820.0</v>
      </c>
      <c r="AK165" s="331">
        <f t="shared" si="158"/>
        <v>569.3205235</v>
      </c>
      <c r="AL165" s="335"/>
      <c r="AM165" s="158"/>
      <c r="AN165" s="158"/>
      <c r="AO165" s="158"/>
    </row>
    <row r="166">
      <c r="B166" s="330" t="s">
        <v>549</v>
      </c>
      <c r="C166" s="331"/>
      <c r="D166" s="332">
        <v>4.0</v>
      </c>
      <c r="E166" s="333">
        <v>508.4</v>
      </c>
      <c r="F166" s="333">
        <v>508.4</v>
      </c>
      <c r="G166" s="334">
        <f t="shared" si="150"/>
        <v>1016.8</v>
      </c>
      <c r="H166" s="332">
        <v>478.8</v>
      </c>
      <c r="I166" s="332">
        <v>476.0</v>
      </c>
      <c r="J166" s="331">
        <f t="shared" si="151"/>
        <v>2.8</v>
      </c>
      <c r="K166" s="332">
        <v>68.6</v>
      </c>
      <c r="L166" s="332">
        <v>91.4</v>
      </c>
      <c r="M166" s="331">
        <f t="shared" si="152"/>
        <v>22.8</v>
      </c>
      <c r="N166" s="331">
        <f t="shared" si="153"/>
        <v>0.064912512</v>
      </c>
      <c r="O166" s="332">
        <v>7820.0</v>
      </c>
      <c r="P166" s="331">
        <f t="shared" si="154"/>
        <v>507.6158438</v>
      </c>
      <c r="Q166" s="335"/>
      <c r="S166" s="319" t="s">
        <v>395</v>
      </c>
      <c r="T166" s="319" t="s">
        <v>389</v>
      </c>
      <c r="W166" s="330" t="s">
        <v>550</v>
      </c>
      <c r="X166" s="331"/>
      <c r="Y166" s="332">
        <v>4.0</v>
      </c>
      <c r="Z166" s="333">
        <v>-91.4</v>
      </c>
      <c r="AA166" s="333">
        <v>-68.6</v>
      </c>
      <c r="AB166" s="331">
        <f t="shared" si="155"/>
        <v>22.8</v>
      </c>
      <c r="AC166" s="332">
        <v>478.8</v>
      </c>
      <c r="AD166" s="332">
        <v>476.0</v>
      </c>
      <c r="AE166" s="331">
        <f t="shared" si="156"/>
        <v>2.8</v>
      </c>
      <c r="AF166" s="333">
        <v>570.2</v>
      </c>
      <c r="AG166" s="333">
        <v>570.2</v>
      </c>
      <c r="AH166" s="334">
        <v>1140.4</v>
      </c>
      <c r="AI166" s="331">
        <f t="shared" si="157"/>
        <v>0.072803136</v>
      </c>
      <c r="AJ166" s="332">
        <v>7820.0</v>
      </c>
      <c r="AK166" s="331">
        <f t="shared" si="158"/>
        <v>569.3205235</v>
      </c>
      <c r="AL166" s="335"/>
      <c r="AM166" s="158"/>
      <c r="AN166" s="158"/>
      <c r="AO166" s="158"/>
    </row>
    <row r="167">
      <c r="B167" s="330" t="s">
        <v>551</v>
      </c>
      <c r="C167" s="331"/>
      <c r="D167" s="332">
        <v>5.0</v>
      </c>
      <c r="E167" s="333">
        <v>508.4</v>
      </c>
      <c r="F167" s="333">
        <v>508.4</v>
      </c>
      <c r="G167" s="334">
        <f t="shared" si="150"/>
        <v>1016.8</v>
      </c>
      <c r="H167" s="332">
        <v>478.8</v>
      </c>
      <c r="I167" s="332">
        <v>476.0</v>
      </c>
      <c r="J167" s="331">
        <f t="shared" si="151"/>
        <v>2.8</v>
      </c>
      <c r="K167" s="332">
        <v>228.6</v>
      </c>
      <c r="L167" s="332">
        <v>251.4</v>
      </c>
      <c r="M167" s="331">
        <f t="shared" si="152"/>
        <v>22.8</v>
      </c>
      <c r="N167" s="331">
        <f t="shared" si="153"/>
        <v>0.064912512</v>
      </c>
      <c r="O167" s="332">
        <v>7820.0</v>
      </c>
      <c r="P167" s="331">
        <f t="shared" si="154"/>
        <v>507.6158438</v>
      </c>
      <c r="Q167" s="335"/>
      <c r="S167" s="319" t="s">
        <v>397</v>
      </c>
      <c r="T167" s="319" t="s">
        <v>389</v>
      </c>
      <c r="W167" s="330" t="s">
        <v>552</v>
      </c>
      <c r="X167" s="331"/>
      <c r="Y167" s="332">
        <v>5.0</v>
      </c>
      <c r="Z167" s="333">
        <v>-251.4</v>
      </c>
      <c r="AA167" s="333">
        <v>-228.6</v>
      </c>
      <c r="AB167" s="331">
        <f t="shared" si="155"/>
        <v>22.8</v>
      </c>
      <c r="AC167" s="332">
        <v>478.8</v>
      </c>
      <c r="AD167" s="332">
        <v>476.0</v>
      </c>
      <c r="AE167" s="331">
        <f t="shared" si="156"/>
        <v>2.8</v>
      </c>
      <c r="AF167" s="333">
        <v>570.2</v>
      </c>
      <c r="AG167" s="333">
        <v>570.2</v>
      </c>
      <c r="AH167" s="334">
        <v>1140.4</v>
      </c>
      <c r="AI167" s="331">
        <f t="shared" si="157"/>
        <v>0.072803136</v>
      </c>
      <c r="AJ167" s="332">
        <v>7820.0</v>
      </c>
      <c r="AK167" s="331">
        <f t="shared" si="158"/>
        <v>569.3205235</v>
      </c>
      <c r="AL167" s="335"/>
      <c r="AM167" s="158"/>
      <c r="AN167" s="158"/>
      <c r="AO167" s="158"/>
    </row>
    <row r="168">
      <c r="B168" s="330" t="s">
        <v>553</v>
      </c>
      <c r="C168" s="331"/>
      <c r="D168" s="332">
        <v>6.0</v>
      </c>
      <c r="E168" s="333">
        <v>508.4</v>
      </c>
      <c r="F168" s="333">
        <v>508.4</v>
      </c>
      <c r="G168" s="334">
        <f t="shared" si="150"/>
        <v>1016.8</v>
      </c>
      <c r="H168" s="332">
        <v>478.8</v>
      </c>
      <c r="I168" s="332">
        <v>476.0</v>
      </c>
      <c r="J168" s="331">
        <f t="shared" si="151"/>
        <v>2.8</v>
      </c>
      <c r="K168" s="332">
        <v>388.6</v>
      </c>
      <c r="L168" s="332">
        <v>411.4</v>
      </c>
      <c r="M168" s="331">
        <f t="shared" si="152"/>
        <v>22.8</v>
      </c>
      <c r="N168" s="331">
        <f t="shared" si="153"/>
        <v>0.064912512</v>
      </c>
      <c r="O168" s="332">
        <v>7820.0</v>
      </c>
      <c r="P168" s="331">
        <f t="shared" si="154"/>
        <v>507.6158438</v>
      </c>
      <c r="Q168" s="335"/>
      <c r="S168" s="319" t="s">
        <v>399</v>
      </c>
      <c r="T168" s="319" t="s">
        <v>389</v>
      </c>
      <c r="W168" s="330" t="s">
        <v>554</v>
      </c>
      <c r="X168" s="331"/>
      <c r="Y168" s="332">
        <v>6.0</v>
      </c>
      <c r="Z168" s="333">
        <v>-411.4</v>
      </c>
      <c r="AA168" s="333">
        <v>-388.6</v>
      </c>
      <c r="AB168" s="331">
        <f t="shared" si="155"/>
        <v>22.8</v>
      </c>
      <c r="AC168" s="332">
        <v>478.8</v>
      </c>
      <c r="AD168" s="332">
        <v>476.0</v>
      </c>
      <c r="AE168" s="331">
        <f t="shared" si="156"/>
        <v>2.8</v>
      </c>
      <c r="AF168" s="333">
        <v>570.2</v>
      </c>
      <c r="AG168" s="333">
        <v>570.2</v>
      </c>
      <c r="AH168" s="334">
        <v>1140.4</v>
      </c>
      <c r="AI168" s="331">
        <f t="shared" si="157"/>
        <v>0.072803136</v>
      </c>
      <c r="AJ168" s="332">
        <v>7820.0</v>
      </c>
      <c r="AK168" s="331">
        <f t="shared" si="158"/>
        <v>569.3205235</v>
      </c>
      <c r="AL168" s="335"/>
      <c r="AM168" s="158"/>
      <c r="AN168" s="158"/>
      <c r="AO168" s="158"/>
    </row>
    <row r="169">
      <c r="B169" s="336"/>
      <c r="C169" s="331"/>
      <c r="D169" s="332" t="s">
        <v>294</v>
      </c>
      <c r="E169" s="331"/>
      <c r="F169" s="331"/>
      <c r="G169" s="331"/>
      <c r="H169" s="331"/>
      <c r="I169" s="331"/>
      <c r="J169" s="331"/>
      <c r="K169" s="331"/>
      <c r="L169" s="331"/>
      <c r="M169" s="331"/>
      <c r="N169" s="331">
        <f>SUM(N163:N168)</f>
        <v>0.389475072</v>
      </c>
      <c r="O169" s="331"/>
      <c r="P169" s="331">
        <f>SUM(P163:P168)</f>
        <v>3045.695063</v>
      </c>
      <c r="Q169" s="335"/>
      <c r="S169" s="321"/>
      <c r="T169" s="321"/>
      <c r="U169" s="321"/>
      <c r="V169" s="321"/>
      <c r="W169" s="336"/>
      <c r="X169" s="331"/>
      <c r="Y169" s="332" t="s">
        <v>294</v>
      </c>
      <c r="Z169" s="331"/>
      <c r="AA169" s="331"/>
      <c r="AB169" s="331"/>
      <c r="AC169" s="331"/>
      <c r="AD169" s="331"/>
      <c r="AE169" s="331"/>
      <c r="AF169" s="331"/>
      <c r="AG169" s="331"/>
      <c r="AH169" s="331"/>
      <c r="AI169" s="331">
        <f>SUM(AI163:AI168)</f>
        <v>0.436818816</v>
      </c>
      <c r="AJ169" s="331"/>
      <c r="AK169" s="331">
        <f>SUM(AK163:AK168)</f>
        <v>3415.923141</v>
      </c>
      <c r="AL169" s="335"/>
      <c r="AM169" s="158">
        <f>AI169+N169</f>
        <v>0.826293888</v>
      </c>
      <c r="AN169" s="158"/>
      <c r="AO169" s="158"/>
    </row>
    <row r="170">
      <c r="B170" s="339"/>
      <c r="C170" s="340"/>
      <c r="D170" s="340"/>
      <c r="E170" s="340"/>
      <c r="F170" s="340"/>
      <c r="G170" s="340"/>
      <c r="H170" s="340"/>
      <c r="I170" s="340"/>
      <c r="J170" s="340"/>
      <c r="K170" s="340"/>
      <c r="L170" s="340"/>
      <c r="M170" s="340"/>
      <c r="N170" s="340"/>
      <c r="O170" s="340"/>
      <c r="P170" s="340">
        <f>P169/1000</f>
        <v>3.045695063</v>
      </c>
      <c r="Q170" s="341" t="s">
        <v>371</v>
      </c>
      <c r="S170" s="321"/>
      <c r="T170" s="321"/>
      <c r="U170" s="321"/>
      <c r="V170" s="321"/>
      <c r="W170" s="339"/>
      <c r="X170" s="340"/>
      <c r="Y170" s="340"/>
      <c r="Z170" s="340"/>
      <c r="AA170" s="340"/>
      <c r="AB170" s="340"/>
      <c r="AC170" s="340"/>
      <c r="AD170" s="340"/>
      <c r="AE170" s="340"/>
      <c r="AF170" s="340"/>
      <c r="AG170" s="340"/>
      <c r="AH170" s="340"/>
      <c r="AI170" s="340"/>
      <c r="AJ170" s="340"/>
      <c r="AK170" s="340">
        <f>AK169/1000</f>
        <v>3.415923141</v>
      </c>
      <c r="AL170" s="341" t="s">
        <v>371</v>
      </c>
      <c r="AM170" s="307"/>
      <c r="AN170" s="307"/>
      <c r="AO170" s="307"/>
    </row>
    <row r="171">
      <c r="S171" s="321"/>
      <c r="T171" s="321"/>
      <c r="U171" s="321"/>
      <c r="V171" s="321"/>
      <c r="AM171" s="158"/>
      <c r="AN171" s="158"/>
      <c r="AO171" s="158"/>
    </row>
    <row r="172">
      <c r="B172" s="342" t="s">
        <v>330</v>
      </c>
      <c r="C172" s="343" t="s">
        <v>400</v>
      </c>
      <c r="D172" s="364" t="s">
        <v>506</v>
      </c>
      <c r="E172" s="343" t="s">
        <v>333</v>
      </c>
      <c r="F172" s="343" t="s">
        <v>334</v>
      </c>
      <c r="G172" s="343" t="s">
        <v>335</v>
      </c>
      <c r="H172" s="343" t="s">
        <v>336</v>
      </c>
      <c r="I172" s="343" t="s">
        <v>337</v>
      </c>
      <c r="J172" s="343" t="s">
        <v>338</v>
      </c>
      <c r="K172" s="343" t="s">
        <v>339</v>
      </c>
      <c r="L172" s="343" t="s">
        <v>340</v>
      </c>
      <c r="M172" s="343" t="s">
        <v>341</v>
      </c>
      <c r="N172" s="343" t="s">
        <v>235</v>
      </c>
      <c r="O172" s="343" t="s">
        <v>342</v>
      </c>
      <c r="P172" s="343" t="s">
        <v>229</v>
      </c>
      <c r="Q172" s="344"/>
      <c r="S172" s="319" t="s">
        <v>401</v>
      </c>
      <c r="T172" s="319" t="s">
        <v>402</v>
      </c>
      <c r="U172" s="321"/>
      <c r="V172" s="321"/>
      <c r="W172" s="342" t="s">
        <v>330</v>
      </c>
      <c r="X172" s="343" t="s">
        <v>400</v>
      </c>
      <c r="Y172" s="364" t="s">
        <v>506</v>
      </c>
      <c r="Z172" s="343" t="s">
        <v>333</v>
      </c>
      <c r="AA172" s="343" t="s">
        <v>334</v>
      </c>
      <c r="AB172" s="343" t="s">
        <v>335</v>
      </c>
      <c r="AC172" s="343" t="s">
        <v>336</v>
      </c>
      <c r="AD172" s="343" t="s">
        <v>337</v>
      </c>
      <c r="AE172" s="343" t="s">
        <v>338</v>
      </c>
      <c r="AF172" s="343" t="s">
        <v>339</v>
      </c>
      <c r="AG172" s="343" t="s">
        <v>340</v>
      </c>
      <c r="AH172" s="343" t="s">
        <v>341</v>
      </c>
      <c r="AI172" s="343" t="s">
        <v>235</v>
      </c>
      <c r="AJ172" s="343" t="s">
        <v>342</v>
      </c>
      <c r="AK172" s="343" t="s">
        <v>229</v>
      </c>
      <c r="AL172" s="344"/>
      <c r="AM172" s="158"/>
      <c r="AN172" s="158"/>
      <c r="AO172" s="158"/>
    </row>
    <row r="173">
      <c r="B173" s="345" t="s">
        <v>555</v>
      </c>
      <c r="C173" s="346"/>
      <c r="D173" s="347">
        <v>1.0</v>
      </c>
      <c r="E173" s="348">
        <v>508.4</v>
      </c>
      <c r="F173" s="348">
        <v>511.2</v>
      </c>
      <c r="G173" s="349">
        <f t="shared" ref="G173:G178" si="159">F173-E173</f>
        <v>2.8</v>
      </c>
      <c r="H173" s="347">
        <v>535.0</v>
      </c>
      <c r="I173" s="347">
        <v>535.0</v>
      </c>
      <c r="J173" s="346">
        <f t="shared" ref="J173:J178" si="160">I173+H173</f>
        <v>1070</v>
      </c>
      <c r="K173" s="347">
        <v>-411.4</v>
      </c>
      <c r="L173" s="347">
        <v>-388.6</v>
      </c>
      <c r="M173" s="346">
        <f t="shared" ref="M173:M178" si="161">L173-K173</f>
        <v>22.8</v>
      </c>
      <c r="N173" s="346">
        <f t="shared" ref="N173:N178" si="162">(G173*J173*M173)/1000000</f>
        <v>0.0683088</v>
      </c>
      <c r="O173" s="347">
        <v>7820.0</v>
      </c>
      <c r="P173" s="346">
        <f t="shared" ref="P173:P178" si="163">N173*O173</f>
        <v>534.174816</v>
      </c>
      <c r="Q173" s="350"/>
      <c r="S173" s="319" t="s">
        <v>404</v>
      </c>
      <c r="T173" s="319" t="s">
        <v>405</v>
      </c>
      <c r="W173" s="345" t="s">
        <v>556</v>
      </c>
      <c r="X173" s="346"/>
      <c r="Y173" s="347">
        <v>1.0</v>
      </c>
      <c r="Z173" s="348">
        <v>508.4</v>
      </c>
      <c r="AA173" s="348">
        <v>511.2</v>
      </c>
      <c r="AB173" s="349">
        <f t="shared" ref="AB173:AB178" si="164">AA173-Z173</f>
        <v>2.8</v>
      </c>
      <c r="AC173" s="347">
        <v>388.6</v>
      </c>
      <c r="AD173" s="347">
        <v>411.4</v>
      </c>
      <c r="AE173" s="346">
        <f t="shared" ref="AE173:AE178" si="165">AD173-AC173</f>
        <v>22.8</v>
      </c>
      <c r="AF173" s="347">
        <v>508.4</v>
      </c>
      <c r="AG173" s="347">
        <v>508.4</v>
      </c>
      <c r="AH173" s="346">
        <f t="shared" ref="AH173:AH178" si="166">SUM(AF173:AG173)</f>
        <v>1016.8</v>
      </c>
      <c r="AI173" s="346">
        <f t="shared" ref="AI173:AI178" si="167">(AB173*AE173*AH173)/1000000</f>
        <v>0.064912512</v>
      </c>
      <c r="AJ173" s="347">
        <v>7820.0</v>
      </c>
      <c r="AK173" s="346">
        <f t="shared" ref="AK173:AK178" si="168">AI173*AJ173</f>
        <v>507.6158438</v>
      </c>
      <c r="AL173" s="350"/>
      <c r="AM173" s="158"/>
      <c r="AN173" s="158"/>
      <c r="AO173" s="158"/>
    </row>
    <row r="174">
      <c r="B174" s="345" t="s">
        <v>557</v>
      </c>
      <c r="C174" s="346"/>
      <c r="D174" s="347">
        <v>2.0</v>
      </c>
      <c r="E174" s="348">
        <v>508.4</v>
      </c>
      <c r="F174" s="348">
        <v>511.2</v>
      </c>
      <c r="G174" s="349">
        <f t="shared" si="159"/>
        <v>2.8</v>
      </c>
      <c r="H174" s="347">
        <v>535.0</v>
      </c>
      <c r="I174" s="347">
        <v>535.0</v>
      </c>
      <c r="J174" s="346">
        <f t="shared" si="160"/>
        <v>1070</v>
      </c>
      <c r="K174" s="347">
        <v>-251.4</v>
      </c>
      <c r="L174" s="347">
        <v>-228.6</v>
      </c>
      <c r="M174" s="346">
        <f t="shared" si="161"/>
        <v>22.8</v>
      </c>
      <c r="N174" s="346">
        <f t="shared" si="162"/>
        <v>0.0683088</v>
      </c>
      <c r="O174" s="347">
        <v>7820.0</v>
      </c>
      <c r="P174" s="346">
        <f t="shared" si="163"/>
        <v>534.174816</v>
      </c>
      <c r="Q174" s="350"/>
      <c r="S174" s="319" t="s">
        <v>407</v>
      </c>
      <c r="T174" s="351" t="s">
        <v>405</v>
      </c>
      <c r="U174" s="321"/>
      <c r="V174" s="321"/>
      <c r="W174" s="345" t="s">
        <v>558</v>
      </c>
      <c r="X174" s="346"/>
      <c r="Y174" s="347">
        <v>2.0</v>
      </c>
      <c r="Z174" s="348">
        <v>508.4</v>
      </c>
      <c r="AA174" s="348">
        <v>511.2</v>
      </c>
      <c r="AB174" s="349">
        <f t="shared" si="164"/>
        <v>2.8</v>
      </c>
      <c r="AC174" s="347">
        <v>228.6</v>
      </c>
      <c r="AD174" s="347">
        <v>251.4</v>
      </c>
      <c r="AE174" s="346">
        <f t="shared" si="165"/>
        <v>22.8</v>
      </c>
      <c r="AF174" s="347">
        <v>508.4</v>
      </c>
      <c r="AG174" s="347">
        <v>508.4</v>
      </c>
      <c r="AH174" s="346">
        <f t="shared" si="166"/>
        <v>1016.8</v>
      </c>
      <c r="AI174" s="346">
        <f t="shared" si="167"/>
        <v>0.064912512</v>
      </c>
      <c r="AJ174" s="347">
        <v>7820.0</v>
      </c>
      <c r="AK174" s="346">
        <f t="shared" si="168"/>
        <v>507.6158438</v>
      </c>
      <c r="AL174" s="350"/>
      <c r="AM174" s="158"/>
      <c r="AN174" s="158"/>
      <c r="AO174" s="158"/>
    </row>
    <row r="175">
      <c r="B175" s="345" t="s">
        <v>559</v>
      </c>
      <c r="C175" s="346"/>
      <c r="D175" s="347">
        <v>3.0</v>
      </c>
      <c r="E175" s="348">
        <v>508.4</v>
      </c>
      <c r="F175" s="348">
        <v>511.2</v>
      </c>
      <c r="G175" s="349">
        <f t="shared" si="159"/>
        <v>2.8</v>
      </c>
      <c r="H175" s="347">
        <v>535.0</v>
      </c>
      <c r="I175" s="347">
        <v>535.0</v>
      </c>
      <c r="J175" s="346">
        <f t="shared" si="160"/>
        <v>1070</v>
      </c>
      <c r="K175" s="347">
        <v>-91.4</v>
      </c>
      <c r="L175" s="347">
        <v>-68.6</v>
      </c>
      <c r="M175" s="346">
        <f t="shared" si="161"/>
        <v>22.8</v>
      </c>
      <c r="N175" s="346">
        <f t="shared" si="162"/>
        <v>0.0683088</v>
      </c>
      <c r="O175" s="347">
        <v>7820.0</v>
      </c>
      <c r="P175" s="346">
        <f t="shared" si="163"/>
        <v>534.174816</v>
      </c>
      <c r="Q175" s="350"/>
      <c r="S175" s="319" t="s">
        <v>409</v>
      </c>
      <c r="T175" s="351" t="s">
        <v>405</v>
      </c>
      <c r="U175" s="321"/>
      <c r="V175" s="321"/>
      <c r="W175" s="345" t="s">
        <v>560</v>
      </c>
      <c r="X175" s="346"/>
      <c r="Y175" s="347">
        <v>3.0</v>
      </c>
      <c r="Z175" s="348">
        <v>508.4</v>
      </c>
      <c r="AA175" s="348">
        <v>511.2</v>
      </c>
      <c r="AB175" s="349">
        <f t="shared" si="164"/>
        <v>2.8</v>
      </c>
      <c r="AC175" s="347">
        <v>68.6</v>
      </c>
      <c r="AD175" s="347">
        <v>91.4</v>
      </c>
      <c r="AE175" s="346">
        <f t="shared" si="165"/>
        <v>22.8</v>
      </c>
      <c r="AF175" s="347">
        <v>508.4</v>
      </c>
      <c r="AG175" s="347">
        <v>508.4</v>
      </c>
      <c r="AH175" s="346">
        <f t="shared" si="166"/>
        <v>1016.8</v>
      </c>
      <c r="AI175" s="346">
        <f t="shared" si="167"/>
        <v>0.064912512</v>
      </c>
      <c r="AJ175" s="347">
        <v>7820.0</v>
      </c>
      <c r="AK175" s="346">
        <f t="shared" si="168"/>
        <v>507.6158438</v>
      </c>
      <c r="AL175" s="350"/>
      <c r="AM175" s="158"/>
      <c r="AN175" s="158"/>
      <c r="AO175" s="158"/>
    </row>
    <row r="176">
      <c r="B176" s="345" t="s">
        <v>561</v>
      </c>
      <c r="C176" s="346"/>
      <c r="D176" s="347">
        <v>4.0</v>
      </c>
      <c r="E176" s="348">
        <v>508.4</v>
      </c>
      <c r="F176" s="348">
        <v>511.2</v>
      </c>
      <c r="G176" s="349">
        <f t="shared" si="159"/>
        <v>2.8</v>
      </c>
      <c r="H176" s="347">
        <v>535.0</v>
      </c>
      <c r="I176" s="347">
        <v>535.0</v>
      </c>
      <c r="J176" s="346">
        <f t="shared" si="160"/>
        <v>1070</v>
      </c>
      <c r="K176" s="347">
        <v>68.6</v>
      </c>
      <c r="L176" s="347">
        <v>91.4</v>
      </c>
      <c r="M176" s="346">
        <f t="shared" si="161"/>
        <v>22.8</v>
      </c>
      <c r="N176" s="346">
        <f t="shared" si="162"/>
        <v>0.0683088</v>
      </c>
      <c r="O176" s="347">
        <v>7820.0</v>
      </c>
      <c r="P176" s="346">
        <f t="shared" si="163"/>
        <v>534.174816</v>
      </c>
      <c r="Q176" s="350"/>
      <c r="S176" s="319" t="s">
        <v>411</v>
      </c>
      <c r="T176" s="351" t="s">
        <v>405</v>
      </c>
      <c r="U176" s="321"/>
      <c r="V176" s="321"/>
      <c r="W176" s="345" t="s">
        <v>562</v>
      </c>
      <c r="X176" s="346"/>
      <c r="Y176" s="347">
        <v>4.0</v>
      </c>
      <c r="Z176" s="348">
        <v>508.4</v>
      </c>
      <c r="AA176" s="348">
        <v>511.2</v>
      </c>
      <c r="AB176" s="349">
        <f t="shared" si="164"/>
        <v>2.8</v>
      </c>
      <c r="AC176" s="347">
        <v>-91.4</v>
      </c>
      <c r="AD176" s="347">
        <v>-68.6</v>
      </c>
      <c r="AE176" s="346">
        <f t="shared" si="165"/>
        <v>22.8</v>
      </c>
      <c r="AF176" s="347">
        <v>508.4</v>
      </c>
      <c r="AG176" s="347">
        <v>508.4</v>
      </c>
      <c r="AH176" s="346">
        <f t="shared" si="166"/>
        <v>1016.8</v>
      </c>
      <c r="AI176" s="346">
        <f t="shared" si="167"/>
        <v>0.064912512</v>
      </c>
      <c r="AJ176" s="347">
        <v>7820.0</v>
      </c>
      <c r="AK176" s="346">
        <f t="shared" si="168"/>
        <v>507.6158438</v>
      </c>
      <c r="AL176" s="350"/>
      <c r="AM176" s="158"/>
      <c r="AN176" s="158"/>
      <c r="AO176" s="158"/>
    </row>
    <row r="177">
      <c r="B177" s="345" t="s">
        <v>563</v>
      </c>
      <c r="C177" s="346"/>
      <c r="D177" s="347">
        <v>5.0</v>
      </c>
      <c r="E177" s="348">
        <v>508.4</v>
      </c>
      <c r="F177" s="348">
        <v>511.2</v>
      </c>
      <c r="G177" s="349">
        <f t="shared" si="159"/>
        <v>2.8</v>
      </c>
      <c r="H177" s="347">
        <v>535.0</v>
      </c>
      <c r="I177" s="347">
        <v>535.0</v>
      </c>
      <c r="J177" s="346">
        <f t="shared" si="160"/>
        <v>1070</v>
      </c>
      <c r="K177" s="347">
        <v>228.6</v>
      </c>
      <c r="L177" s="347">
        <v>251.4</v>
      </c>
      <c r="M177" s="346">
        <f t="shared" si="161"/>
        <v>22.8</v>
      </c>
      <c r="N177" s="346">
        <f t="shared" si="162"/>
        <v>0.0683088</v>
      </c>
      <c r="O177" s="347">
        <v>7820.0</v>
      </c>
      <c r="P177" s="346">
        <f t="shared" si="163"/>
        <v>534.174816</v>
      </c>
      <c r="Q177" s="350"/>
      <c r="S177" s="319" t="s">
        <v>413</v>
      </c>
      <c r="T177" s="351" t="s">
        <v>405</v>
      </c>
      <c r="U177" s="321"/>
      <c r="V177" s="321"/>
      <c r="W177" s="345" t="s">
        <v>564</v>
      </c>
      <c r="X177" s="346"/>
      <c r="Y177" s="347">
        <v>5.0</v>
      </c>
      <c r="Z177" s="348">
        <v>508.4</v>
      </c>
      <c r="AA177" s="348">
        <v>511.2</v>
      </c>
      <c r="AB177" s="349">
        <f t="shared" si="164"/>
        <v>2.8</v>
      </c>
      <c r="AC177" s="347">
        <v>-251.4</v>
      </c>
      <c r="AD177" s="347">
        <v>-228.6</v>
      </c>
      <c r="AE177" s="346">
        <f t="shared" si="165"/>
        <v>22.8</v>
      </c>
      <c r="AF177" s="347">
        <v>508.4</v>
      </c>
      <c r="AG177" s="347">
        <v>508.4</v>
      </c>
      <c r="AH177" s="346">
        <f t="shared" si="166"/>
        <v>1016.8</v>
      </c>
      <c r="AI177" s="346">
        <f t="shared" si="167"/>
        <v>0.064912512</v>
      </c>
      <c r="AJ177" s="347">
        <v>7820.0</v>
      </c>
      <c r="AK177" s="346">
        <f t="shared" si="168"/>
        <v>507.6158438</v>
      </c>
      <c r="AL177" s="350"/>
      <c r="AM177" s="158"/>
      <c r="AN177" s="158"/>
      <c r="AO177" s="158"/>
    </row>
    <row r="178">
      <c r="B178" s="345" t="s">
        <v>565</v>
      </c>
      <c r="C178" s="346"/>
      <c r="D178" s="347">
        <v>6.0</v>
      </c>
      <c r="E178" s="348">
        <v>508.4</v>
      </c>
      <c r="F178" s="348">
        <v>511.2</v>
      </c>
      <c r="G178" s="349">
        <f t="shared" si="159"/>
        <v>2.8</v>
      </c>
      <c r="H178" s="347">
        <v>535.0</v>
      </c>
      <c r="I178" s="347">
        <v>535.0</v>
      </c>
      <c r="J178" s="346">
        <f t="shared" si="160"/>
        <v>1070</v>
      </c>
      <c r="K178" s="347">
        <v>388.6</v>
      </c>
      <c r="L178" s="347">
        <v>411.4</v>
      </c>
      <c r="M178" s="346">
        <f t="shared" si="161"/>
        <v>22.8</v>
      </c>
      <c r="N178" s="346">
        <f t="shared" si="162"/>
        <v>0.0683088</v>
      </c>
      <c r="O178" s="347">
        <v>7820.0</v>
      </c>
      <c r="P178" s="346">
        <f t="shared" si="163"/>
        <v>534.174816</v>
      </c>
      <c r="Q178" s="350"/>
      <c r="S178" s="319" t="s">
        <v>415</v>
      </c>
      <c r="T178" s="351" t="s">
        <v>405</v>
      </c>
      <c r="U178" s="321"/>
      <c r="V178" s="321"/>
      <c r="W178" s="345" t="s">
        <v>566</v>
      </c>
      <c r="X178" s="346"/>
      <c r="Y178" s="347">
        <v>6.0</v>
      </c>
      <c r="Z178" s="348">
        <v>508.4</v>
      </c>
      <c r="AA178" s="348">
        <v>511.2</v>
      </c>
      <c r="AB178" s="349">
        <f t="shared" si="164"/>
        <v>2.8</v>
      </c>
      <c r="AC178" s="347">
        <v>-411.4</v>
      </c>
      <c r="AD178" s="347">
        <v>-388.6</v>
      </c>
      <c r="AE178" s="346">
        <f t="shared" si="165"/>
        <v>22.8</v>
      </c>
      <c r="AF178" s="347">
        <v>508.4</v>
      </c>
      <c r="AG178" s="347">
        <v>508.4</v>
      </c>
      <c r="AH178" s="346">
        <f t="shared" si="166"/>
        <v>1016.8</v>
      </c>
      <c r="AI178" s="346">
        <f t="shared" si="167"/>
        <v>0.064912512</v>
      </c>
      <c r="AJ178" s="347">
        <v>7820.0</v>
      </c>
      <c r="AK178" s="346">
        <f t="shared" si="168"/>
        <v>507.6158438</v>
      </c>
      <c r="AL178" s="350"/>
      <c r="AM178" s="158"/>
      <c r="AN178" s="158"/>
      <c r="AO178" s="158"/>
    </row>
    <row r="179">
      <c r="B179" s="352"/>
      <c r="C179" s="346"/>
      <c r="D179" s="347" t="s">
        <v>294</v>
      </c>
      <c r="E179" s="346"/>
      <c r="F179" s="346"/>
      <c r="G179" s="346"/>
      <c r="H179" s="346"/>
      <c r="I179" s="346"/>
      <c r="J179" s="346"/>
      <c r="K179" s="346"/>
      <c r="L179" s="346"/>
      <c r="M179" s="346"/>
      <c r="N179" s="346">
        <f>SUM(N173:N178)</f>
        <v>0.4098528</v>
      </c>
      <c r="O179" s="346"/>
      <c r="P179" s="346">
        <f>SUM(P173:P178)</f>
        <v>3205.048896</v>
      </c>
      <c r="Q179" s="350"/>
      <c r="S179" s="321"/>
      <c r="T179" s="321"/>
      <c r="U179" s="321"/>
      <c r="V179" s="321"/>
      <c r="W179" s="352"/>
      <c r="X179" s="346"/>
      <c r="Y179" s="347" t="s">
        <v>294</v>
      </c>
      <c r="Z179" s="346"/>
      <c r="AA179" s="346"/>
      <c r="AB179" s="346"/>
      <c r="AC179" s="346"/>
      <c r="AD179" s="346"/>
      <c r="AE179" s="346"/>
      <c r="AF179" s="346"/>
      <c r="AG179" s="346"/>
      <c r="AH179" s="346"/>
      <c r="AI179" s="346">
        <f>SUM(AI173:AI178)</f>
        <v>0.389475072</v>
      </c>
      <c r="AJ179" s="346"/>
      <c r="AK179" s="346">
        <f>SUM(AK173:AK178)</f>
        <v>3045.695063</v>
      </c>
      <c r="AL179" s="350"/>
      <c r="AM179" s="158">
        <f>AI179+N179</f>
        <v>0.799327872</v>
      </c>
      <c r="AN179" s="158"/>
      <c r="AO179" s="158"/>
    </row>
    <row r="180">
      <c r="B180" s="352"/>
      <c r="C180" s="346"/>
      <c r="D180" s="346"/>
      <c r="E180" s="346"/>
      <c r="F180" s="346"/>
      <c r="G180" s="346"/>
      <c r="H180" s="346"/>
      <c r="I180" s="346"/>
      <c r="J180" s="346"/>
      <c r="K180" s="346"/>
      <c r="L180" s="346"/>
      <c r="M180" s="346"/>
      <c r="N180" s="346"/>
      <c r="O180" s="346"/>
      <c r="P180" s="346">
        <f>P179/1000</f>
        <v>3.205048896</v>
      </c>
      <c r="Q180" s="353" t="s">
        <v>371</v>
      </c>
      <c r="S180" s="321"/>
      <c r="T180" s="321"/>
      <c r="U180" s="321"/>
      <c r="V180" s="321"/>
      <c r="W180" s="352"/>
      <c r="X180" s="346"/>
      <c r="Y180" s="346"/>
      <c r="Z180" s="346"/>
      <c r="AA180" s="346"/>
      <c r="AB180" s="346"/>
      <c r="AC180" s="346"/>
      <c r="AD180" s="346"/>
      <c r="AE180" s="346"/>
      <c r="AF180" s="346"/>
      <c r="AG180" s="346"/>
      <c r="AH180" s="346"/>
      <c r="AI180" s="346"/>
      <c r="AJ180" s="346"/>
      <c r="AK180" s="346">
        <f>AK179/1000</f>
        <v>3.045695063</v>
      </c>
      <c r="AL180" s="353" t="s">
        <v>371</v>
      </c>
      <c r="AM180" s="307"/>
      <c r="AN180" s="307"/>
      <c r="AO180" s="307"/>
    </row>
    <row r="181">
      <c r="B181" s="352"/>
      <c r="C181" s="346"/>
      <c r="D181" s="346"/>
      <c r="E181" s="346"/>
      <c r="F181" s="346"/>
      <c r="G181" s="346"/>
      <c r="H181" s="346"/>
      <c r="I181" s="346"/>
      <c r="J181" s="346"/>
      <c r="K181" s="346"/>
      <c r="L181" s="346"/>
      <c r="M181" s="346"/>
      <c r="N181" s="346"/>
      <c r="O181" s="346"/>
      <c r="P181" s="346"/>
      <c r="Q181" s="353"/>
      <c r="S181" s="321"/>
      <c r="T181" s="321"/>
      <c r="U181" s="321"/>
      <c r="V181" s="321"/>
      <c r="W181" s="352"/>
      <c r="X181" s="346"/>
      <c r="Y181" s="346"/>
      <c r="Z181" s="346"/>
      <c r="AA181" s="346"/>
      <c r="AB181" s="346"/>
      <c r="AC181" s="346"/>
      <c r="AD181" s="346"/>
      <c r="AE181" s="346"/>
      <c r="AF181" s="346"/>
      <c r="AG181" s="346"/>
      <c r="AH181" s="346"/>
      <c r="AI181" s="346"/>
      <c r="AJ181" s="346"/>
      <c r="AK181" s="346"/>
      <c r="AL181" s="353"/>
      <c r="AM181" s="307"/>
      <c r="AN181" s="307"/>
      <c r="AO181" s="307"/>
    </row>
    <row r="182">
      <c r="B182" s="354" t="s">
        <v>330</v>
      </c>
      <c r="C182" s="347" t="s">
        <v>416</v>
      </c>
      <c r="D182" s="362" t="s">
        <v>506</v>
      </c>
      <c r="E182" s="347" t="s">
        <v>333</v>
      </c>
      <c r="F182" s="347" t="s">
        <v>334</v>
      </c>
      <c r="G182" s="347" t="s">
        <v>335</v>
      </c>
      <c r="H182" s="347" t="s">
        <v>336</v>
      </c>
      <c r="I182" s="347" t="s">
        <v>337</v>
      </c>
      <c r="J182" s="347" t="s">
        <v>338</v>
      </c>
      <c r="K182" s="347" t="s">
        <v>339</v>
      </c>
      <c r="L182" s="347" t="s">
        <v>340</v>
      </c>
      <c r="M182" s="347" t="s">
        <v>341</v>
      </c>
      <c r="N182" s="347" t="s">
        <v>235</v>
      </c>
      <c r="O182" s="347" t="s">
        <v>342</v>
      </c>
      <c r="P182" s="347" t="s">
        <v>229</v>
      </c>
      <c r="Q182" s="350"/>
      <c r="S182" s="321"/>
      <c r="T182" s="321"/>
      <c r="U182" s="321"/>
      <c r="V182" s="321"/>
      <c r="W182" s="354" t="s">
        <v>330</v>
      </c>
      <c r="X182" s="347" t="s">
        <v>416</v>
      </c>
      <c r="Y182" s="362" t="s">
        <v>506</v>
      </c>
      <c r="Z182" s="347" t="s">
        <v>333</v>
      </c>
      <c r="AA182" s="347" t="s">
        <v>334</v>
      </c>
      <c r="AB182" s="347" t="s">
        <v>335</v>
      </c>
      <c r="AC182" s="347" t="s">
        <v>336</v>
      </c>
      <c r="AD182" s="347" t="s">
        <v>337</v>
      </c>
      <c r="AE182" s="347" t="s">
        <v>338</v>
      </c>
      <c r="AF182" s="347" t="s">
        <v>339</v>
      </c>
      <c r="AG182" s="347" t="s">
        <v>340</v>
      </c>
      <c r="AH182" s="347" t="s">
        <v>341</v>
      </c>
      <c r="AI182" s="347" t="s">
        <v>235</v>
      </c>
      <c r="AJ182" s="347" t="s">
        <v>342</v>
      </c>
      <c r="AK182" s="347" t="s">
        <v>229</v>
      </c>
      <c r="AL182" s="350"/>
      <c r="AM182" s="158"/>
      <c r="AN182" s="158"/>
      <c r="AO182" s="158"/>
    </row>
    <row r="183">
      <c r="B183" s="345" t="s">
        <v>567</v>
      </c>
      <c r="C183" s="346"/>
      <c r="D183" s="347">
        <v>1.0</v>
      </c>
      <c r="E183" s="348">
        <v>511.2</v>
      </c>
      <c r="F183" s="348">
        <v>508.4</v>
      </c>
      <c r="G183" s="349">
        <f t="shared" ref="G183:G188" si="169">E183-F183</f>
        <v>2.8</v>
      </c>
      <c r="H183" s="347">
        <v>-535.0</v>
      </c>
      <c r="I183" s="347">
        <v>535.0</v>
      </c>
      <c r="J183" s="346">
        <f t="shared" ref="J183:J188" si="170">I183-H183</f>
        <v>1070</v>
      </c>
      <c r="K183" s="347">
        <v>388.6</v>
      </c>
      <c r="L183" s="347">
        <v>411.4</v>
      </c>
      <c r="M183" s="346">
        <f t="shared" ref="M183:M188" si="171">L183-K183</f>
        <v>22.8</v>
      </c>
      <c r="N183" s="346">
        <f t="shared" ref="N183:N188" si="172">(G183*J183*M183)/1000000</f>
        <v>0.0683088</v>
      </c>
      <c r="O183" s="347">
        <v>7820.0</v>
      </c>
      <c r="P183" s="346">
        <f t="shared" ref="P183:P188" si="173">N183*O183</f>
        <v>534.174816</v>
      </c>
      <c r="Q183" s="350"/>
      <c r="S183" s="319" t="s">
        <v>418</v>
      </c>
      <c r="T183" s="319" t="s">
        <v>419</v>
      </c>
      <c r="W183" s="345" t="s">
        <v>568</v>
      </c>
      <c r="X183" s="346"/>
      <c r="Y183" s="347">
        <v>1.0</v>
      </c>
      <c r="Z183" s="348">
        <v>511.2</v>
      </c>
      <c r="AA183" s="348">
        <v>508.4</v>
      </c>
      <c r="AB183" s="349">
        <f t="shared" ref="AB183:AB188" si="174">Z183-AA183</f>
        <v>2.8</v>
      </c>
      <c r="AC183" s="347">
        <v>388.6</v>
      </c>
      <c r="AD183" s="347">
        <v>411.4</v>
      </c>
      <c r="AE183" s="346">
        <f t="shared" ref="AE183:AE188" si="175">AD183-AC183</f>
        <v>22.8</v>
      </c>
      <c r="AF183" s="347">
        <v>508.4</v>
      </c>
      <c r="AG183" s="347">
        <v>508.4</v>
      </c>
      <c r="AH183" s="346">
        <f t="shared" ref="AH183:AH188" si="176">AG183+AF183</f>
        <v>1016.8</v>
      </c>
      <c r="AI183" s="346">
        <f t="shared" ref="AI183:AI188" si="177">(AB183*AE183*AH183)/1000000</f>
        <v>0.064912512</v>
      </c>
      <c r="AJ183" s="347">
        <v>7820.0</v>
      </c>
      <c r="AK183" s="346">
        <f t="shared" ref="AK183:AK188" si="178">AI183*AJ183</f>
        <v>507.6158438</v>
      </c>
      <c r="AL183" s="350"/>
      <c r="AM183" s="158"/>
      <c r="AN183" s="158"/>
      <c r="AO183" s="158"/>
    </row>
    <row r="184">
      <c r="B184" s="345" t="s">
        <v>569</v>
      </c>
      <c r="C184" s="346"/>
      <c r="D184" s="347">
        <v>2.0</v>
      </c>
      <c r="E184" s="348">
        <v>511.2</v>
      </c>
      <c r="F184" s="348">
        <v>508.4</v>
      </c>
      <c r="G184" s="349">
        <f t="shared" si="169"/>
        <v>2.8</v>
      </c>
      <c r="H184" s="347">
        <v>-535.0</v>
      </c>
      <c r="I184" s="347">
        <v>535.0</v>
      </c>
      <c r="J184" s="346">
        <f t="shared" si="170"/>
        <v>1070</v>
      </c>
      <c r="K184" s="347">
        <v>228.6</v>
      </c>
      <c r="L184" s="347">
        <v>251.4</v>
      </c>
      <c r="M184" s="346">
        <f t="shared" si="171"/>
        <v>22.8</v>
      </c>
      <c r="N184" s="346">
        <f t="shared" si="172"/>
        <v>0.0683088</v>
      </c>
      <c r="O184" s="347">
        <v>7820.0</v>
      </c>
      <c r="P184" s="346">
        <f t="shared" si="173"/>
        <v>534.174816</v>
      </c>
      <c r="Q184" s="350"/>
      <c r="S184" s="319" t="s">
        <v>421</v>
      </c>
      <c r="T184" s="319" t="s">
        <v>419</v>
      </c>
      <c r="W184" s="345" t="s">
        <v>570</v>
      </c>
      <c r="X184" s="346"/>
      <c r="Y184" s="347">
        <v>2.0</v>
      </c>
      <c r="Z184" s="348">
        <v>511.2</v>
      </c>
      <c r="AA184" s="348">
        <v>508.4</v>
      </c>
      <c r="AB184" s="349">
        <f t="shared" si="174"/>
        <v>2.8</v>
      </c>
      <c r="AC184" s="347">
        <v>228.6</v>
      </c>
      <c r="AD184" s="347">
        <v>251.4</v>
      </c>
      <c r="AE184" s="346">
        <f t="shared" si="175"/>
        <v>22.8</v>
      </c>
      <c r="AF184" s="347">
        <v>508.4</v>
      </c>
      <c r="AG184" s="347">
        <v>508.4</v>
      </c>
      <c r="AH184" s="346">
        <f t="shared" si="176"/>
        <v>1016.8</v>
      </c>
      <c r="AI184" s="346">
        <f t="shared" si="177"/>
        <v>0.064912512</v>
      </c>
      <c r="AJ184" s="347">
        <v>7820.0</v>
      </c>
      <c r="AK184" s="346">
        <f t="shared" si="178"/>
        <v>507.6158438</v>
      </c>
      <c r="AL184" s="350"/>
      <c r="AM184" s="158"/>
      <c r="AN184" s="158"/>
      <c r="AO184" s="158"/>
    </row>
    <row r="185">
      <c r="B185" s="345" t="s">
        <v>571</v>
      </c>
      <c r="C185" s="346"/>
      <c r="D185" s="347">
        <v>3.0</v>
      </c>
      <c r="E185" s="348">
        <v>511.2</v>
      </c>
      <c r="F185" s="348">
        <v>508.4</v>
      </c>
      <c r="G185" s="349">
        <f t="shared" si="169"/>
        <v>2.8</v>
      </c>
      <c r="H185" s="347">
        <v>-535.0</v>
      </c>
      <c r="I185" s="347">
        <v>535.0</v>
      </c>
      <c r="J185" s="346">
        <f t="shared" si="170"/>
        <v>1070</v>
      </c>
      <c r="K185" s="347">
        <v>68.6</v>
      </c>
      <c r="L185" s="347">
        <v>91.4</v>
      </c>
      <c r="M185" s="346">
        <f t="shared" si="171"/>
        <v>22.8</v>
      </c>
      <c r="N185" s="346">
        <f t="shared" si="172"/>
        <v>0.0683088</v>
      </c>
      <c r="O185" s="347">
        <v>7820.0</v>
      </c>
      <c r="P185" s="346">
        <f t="shared" si="173"/>
        <v>534.174816</v>
      </c>
      <c r="Q185" s="350"/>
      <c r="S185" s="319" t="s">
        <v>423</v>
      </c>
      <c r="T185" s="319" t="s">
        <v>419</v>
      </c>
      <c r="W185" s="345" t="s">
        <v>572</v>
      </c>
      <c r="X185" s="346"/>
      <c r="Y185" s="347">
        <v>3.0</v>
      </c>
      <c r="Z185" s="348">
        <v>511.2</v>
      </c>
      <c r="AA185" s="348">
        <v>508.4</v>
      </c>
      <c r="AB185" s="349">
        <f t="shared" si="174"/>
        <v>2.8</v>
      </c>
      <c r="AC185" s="347">
        <v>68.6</v>
      </c>
      <c r="AD185" s="347">
        <v>91.4</v>
      </c>
      <c r="AE185" s="346">
        <f t="shared" si="175"/>
        <v>22.8</v>
      </c>
      <c r="AF185" s="347">
        <v>508.4</v>
      </c>
      <c r="AG185" s="347">
        <v>508.4</v>
      </c>
      <c r="AH185" s="346">
        <f t="shared" si="176"/>
        <v>1016.8</v>
      </c>
      <c r="AI185" s="346">
        <f t="shared" si="177"/>
        <v>0.064912512</v>
      </c>
      <c r="AJ185" s="347">
        <v>7820.0</v>
      </c>
      <c r="AK185" s="346">
        <f t="shared" si="178"/>
        <v>507.6158438</v>
      </c>
      <c r="AL185" s="350"/>
      <c r="AM185" s="158"/>
      <c r="AN185" s="158"/>
      <c r="AO185" s="158"/>
    </row>
    <row r="186">
      <c r="B186" s="345" t="s">
        <v>573</v>
      </c>
      <c r="C186" s="346"/>
      <c r="D186" s="347">
        <v>4.0</v>
      </c>
      <c r="E186" s="348">
        <v>511.2</v>
      </c>
      <c r="F186" s="348">
        <v>508.4</v>
      </c>
      <c r="G186" s="349">
        <f t="shared" si="169"/>
        <v>2.8</v>
      </c>
      <c r="H186" s="347">
        <v>-535.0</v>
      </c>
      <c r="I186" s="347">
        <v>535.0</v>
      </c>
      <c r="J186" s="346">
        <f t="shared" si="170"/>
        <v>1070</v>
      </c>
      <c r="K186" s="347">
        <v>-91.4</v>
      </c>
      <c r="L186" s="347">
        <v>-68.6</v>
      </c>
      <c r="M186" s="346">
        <f t="shared" si="171"/>
        <v>22.8</v>
      </c>
      <c r="N186" s="346">
        <f t="shared" si="172"/>
        <v>0.0683088</v>
      </c>
      <c r="O186" s="347">
        <v>7820.0</v>
      </c>
      <c r="P186" s="346">
        <f t="shared" si="173"/>
        <v>534.174816</v>
      </c>
      <c r="Q186" s="350"/>
      <c r="S186" s="319" t="s">
        <v>425</v>
      </c>
      <c r="T186" s="319" t="s">
        <v>419</v>
      </c>
      <c r="W186" s="345" t="s">
        <v>574</v>
      </c>
      <c r="X186" s="346"/>
      <c r="Y186" s="347">
        <v>4.0</v>
      </c>
      <c r="Z186" s="348">
        <v>511.2</v>
      </c>
      <c r="AA186" s="348">
        <v>508.4</v>
      </c>
      <c r="AB186" s="349">
        <f t="shared" si="174"/>
        <v>2.8</v>
      </c>
      <c r="AC186" s="347">
        <v>-91.4</v>
      </c>
      <c r="AD186" s="347">
        <v>-68.6</v>
      </c>
      <c r="AE186" s="346">
        <f t="shared" si="175"/>
        <v>22.8</v>
      </c>
      <c r="AF186" s="347">
        <v>508.4</v>
      </c>
      <c r="AG186" s="347">
        <v>508.4</v>
      </c>
      <c r="AH186" s="346">
        <f t="shared" si="176"/>
        <v>1016.8</v>
      </c>
      <c r="AI186" s="346">
        <f t="shared" si="177"/>
        <v>0.064912512</v>
      </c>
      <c r="AJ186" s="347">
        <v>7820.0</v>
      </c>
      <c r="AK186" s="346">
        <f t="shared" si="178"/>
        <v>507.6158438</v>
      </c>
      <c r="AL186" s="350"/>
      <c r="AM186" s="158"/>
      <c r="AN186" s="158"/>
      <c r="AO186" s="158"/>
    </row>
    <row r="187">
      <c r="B187" s="345" t="s">
        <v>575</v>
      </c>
      <c r="C187" s="346"/>
      <c r="D187" s="347">
        <v>5.0</v>
      </c>
      <c r="E187" s="348">
        <v>511.2</v>
      </c>
      <c r="F187" s="348">
        <v>508.4</v>
      </c>
      <c r="G187" s="349">
        <f t="shared" si="169"/>
        <v>2.8</v>
      </c>
      <c r="H187" s="347">
        <v>-535.0</v>
      </c>
      <c r="I187" s="347">
        <v>535.0</v>
      </c>
      <c r="J187" s="346">
        <f t="shared" si="170"/>
        <v>1070</v>
      </c>
      <c r="K187" s="347">
        <v>-251.4</v>
      </c>
      <c r="L187" s="347">
        <v>-228.6</v>
      </c>
      <c r="M187" s="346">
        <f t="shared" si="171"/>
        <v>22.8</v>
      </c>
      <c r="N187" s="346">
        <f t="shared" si="172"/>
        <v>0.0683088</v>
      </c>
      <c r="O187" s="347">
        <v>7820.0</v>
      </c>
      <c r="P187" s="346">
        <f t="shared" si="173"/>
        <v>534.174816</v>
      </c>
      <c r="Q187" s="350"/>
      <c r="S187" s="319" t="s">
        <v>427</v>
      </c>
      <c r="T187" s="319" t="s">
        <v>419</v>
      </c>
      <c r="W187" s="345" t="s">
        <v>576</v>
      </c>
      <c r="X187" s="346"/>
      <c r="Y187" s="347">
        <v>5.0</v>
      </c>
      <c r="Z187" s="348">
        <v>511.2</v>
      </c>
      <c r="AA187" s="348">
        <v>508.4</v>
      </c>
      <c r="AB187" s="349">
        <f t="shared" si="174"/>
        <v>2.8</v>
      </c>
      <c r="AC187" s="347">
        <v>-251.4</v>
      </c>
      <c r="AD187" s="347">
        <v>-228.6</v>
      </c>
      <c r="AE187" s="346">
        <f t="shared" si="175"/>
        <v>22.8</v>
      </c>
      <c r="AF187" s="347">
        <v>508.4</v>
      </c>
      <c r="AG187" s="347">
        <v>508.4</v>
      </c>
      <c r="AH187" s="346">
        <f t="shared" si="176"/>
        <v>1016.8</v>
      </c>
      <c r="AI187" s="346">
        <f t="shared" si="177"/>
        <v>0.064912512</v>
      </c>
      <c r="AJ187" s="347">
        <v>7820.0</v>
      </c>
      <c r="AK187" s="346">
        <f t="shared" si="178"/>
        <v>507.6158438</v>
      </c>
      <c r="AL187" s="350"/>
      <c r="AM187" s="158"/>
      <c r="AN187" s="158"/>
      <c r="AO187" s="158"/>
    </row>
    <row r="188">
      <c r="B188" s="345" t="s">
        <v>577</v>
      </c>
      <c r="C188" s="346"/>
      <c r="D188" s="347">
        <v>6.0</v>
      </c>
      <c r="E188" s="348">
        <v>511.2</v>
      </c>
      <c r="F188" s="348">
        <v>508.4</v>
      </c>
      <c r="G188" s="349">
        <f t="shared" si="169"/>
        <v>2.8</v>
      </c>
      <c r="H188" s="347">
        <v>-535.0</v>
      </c>
      <c r="I188" s="347">
        <v>535.0</v>
      </c>
      <c r="J188" s="346">
        <f t="shared" si="170"/>
        <v>1070</v>
      </c>
      <c r="K188" s="347">
        <v>-411.4</v>
      </c>
      <c r="L188" s="347">
        <v>-388.6</v>
      </c>
      <c r="M188" s="346">
        <f t="shared" si="171"/>
        <v>22.8</v>
      </c>
      <c r="N188" s="346">
        <f t="shared" si="172"/>
        <v>0.0683088</v>
      </c>
      <c r="O188" s="347">
        <v>7820.0</v>
      </c>
      <c r="P188" s="346">
        <f t="shared" si="173"/>
        <v>534.174816</v>
      </c>
      <c r="Q188" s="350"/>
      <c r="S188" s="319" t="s">
        <v>429</v>
      </c>
      <c r="T188" s="319" t="s">
        <v>419</v>
      </c>
      <c r="W188" s="345" t="s">
        <v>578</v>
      </c>
      <c r="X188" s="346"/>
      <c r="Y188" s="347">
        <v>6.0</v>
      </c>
      <c r="Z188" s="348">
        <v>511.2</v>
      </c>
      <c r="AA188" s="348">
        <v>508.4</v>
      </c>
      <c r="AB188" s="349">
        <f t="shared" si="174"/>
        <v>2.8</v>
      </c>
      <c r="AC188" s="347">
        <v>-411.4</v>
      </c>
      <c r="AD188" s="347">
        <v>-388.6</v>
      </c>
      <c r="AE188" s="346">
        <f t="shared" si="175"/>
        <v>22.8</v>
      </c>
      <c r="AF188" s="347">
        <v>508.4</v>
      </c>
      <c r="AG188" s="347">
        <v>508.4</v>
      </c>
      <c r="AH188" s="346">
        <f t="shared" si="176"/>
        <v>1016.8</v>
      </c>
      <c r="AI188" s="346">
        <f t="shared" si="177"/>
        <v>0.064912512</v>
      </c>
      <c r="AJ188" s="347">
        <v>7820.0</v>
      </c>
      <c r="AK188" s="346">
        <f t="shared" si="178"/>
        <v>507.6158438</v>
      </c>
      <c r="AL188" s="350"/>
      <c r="AM188" s="158"/>
      <c r="AN188" s="158"/>
      <c r="AO188" s="158"/>
    </row>
    <row r="189">
      <c r="B189" s="352"/>
      <c r="C189" s="346"/>
      <c r="D189" s="347" t="s">
        <v>294</v>
      </c>
      <c r="E189" s="346"/>
      <c r="F189" s="346"/>
      <c r="G189" s="346"/>
      <c r="H189" s="346"/>
      <c r="I189" s="346"/>
      <c r="J189" s="346"/>
      <c r="K189" s="346"/>
      <c r="L189" s="346"/>
      <c r="M189" s="346"/>
      <c r="N189" s="346">
        <f>SUM(N183:N188)</f>
        <v>0.4098528</v>
      </c>
      <c r="O189" s="346"/>
      <c r="P189" s="346">
        <f>SUM(P183:P188)</f>
        <v>3205.048896</v>
      </c>
      <c r="Q189" s="350"/>
      <c r="S189" s="321"/>
      <c r="T189" s="321"/>
      <c r="U189" s="321"/>
      <c r="V189" s="321"/>
      <c r="W189" s="352"/>
      <c r="X189" s="346"/>
      <c r="Y189" s="347" t="s">
        <v>294</v>
      </c>
      <c r="Z189" s="346"/>
      <c r="AA189" s="346"/>
      <c r="AB189" s="346"/>
      <c r="AC189" s="346"/>
      <c r="AD189" s="346"/>
      <c r="AE189" s="346"/>
      <c r="AF189" s="346"/>
      <c r="AG189" s="346"/>
      <c r="AH189" s="346"/>
      <c r="AI189" s="346">
        <f>SUM(AI183:AI188)</f>
        <v>0.389475072</v>
      </c>
      <c r="AJ189" s="346"/>
      <c r="AK189" s="346">
        <f>SUM(AK183:AK188)</f>
        <v>3045.695063</v>
      </c>
      <c r="AL189" s="350"/>
      <c r="AM189" s="158">
        <f>N189+AI189</f>
        <v>0.799327872</v>
      </c>
      <c r="AN189" s="158"/>
      <c r="AO189" s="158"/>
    </row>
    <row r="190">
      <c r="B190" s="355"/>
      <c r="C190" s="356"/>
      <c r="D190" s="356"/>
      <c r="E190" s="356"/>
      <c r="F190" s="356"/>
      <c r="G190" s="356"/>
      <c r="H190" s="356"/>
      <c r="I190" s="356"/>
      <c r="J190" s="356"/>
      <c r="K190" s="356"/>
      <c r="L190" s="356"/>
      <c r="M190" s="356"/>
      <c r="N190" s="356"/>
      <c r="O190" s="356"/>
      <c r="P190" s="356">
        <f>P189/1000</f>
        <v>3.205048896</v>
      </c>
      <c r="Q190" s="357" t="s">
        <v>371</v>
      </c>
      <c r="S190" s="321"/>
      <c r="T190" s="321"/>
      <c r="U190" s="321"/>
      <c r="V190" s="321"/>
      <c r="W190" s="355"/>
      <c r="X190" s="356"/>
      <c r="Y190" s="356"/>
      <c r="Z190" s="356"/>
      <c r="AA190" s="356"/>
      <c r="AB190" s="356"/>
      <c r="AC190" s="356"/>
      <c r="AD190" s="356"/>
      <c r="AE190" s="356"/>
      <c r="AF190" s="356"/>
      <c r="AG190" s="356"/>
      <c r="AH190" s="356"/>
      <c r="AI190" s="356"/>
      <c r="AJ190" s="356"/>
      <c r="AK190" s="356">
        <f>AK189/1000</f>
        <v>3.045695063</v>
      </c>
      <c r="AL190" s="357" t="s">
        <v>371</v>
      </c>
      <c r="AM190" s="307"/>
      <c r="AN190" s="307"/>
      <c r="AO190" s="307"/>
    </row>
    <row r="191">
      <c r="AM191" s="158"/>
      <c r="AN191" s="158"/>
      <c r="AO191" s="158"/>
    </row>
    <row r="192">
      <c r="AM192" s="158"/>
      <c r="AN192" s="158"/>
      <c r="AO192" s="158"/>
    </row>
    <row r="193">
      <c r="AM193" s="158"/>
      <c r="AN193" s="158"/>
      <c r="AO193" s="158"/>
    </row>
    <row r="194">
      <c r="D194" s="365" t="s">
        <v>579</v>
      </c>
      <c r="F194" s="149"/>
      <c r="P194" s="149" t="s">
        <v>580</v>
      </c>
      <c r="AM194" s="158"/>
      <c r="AN194" s="158"/>
      <c r="AO194" s="158"/>
    </row>
    <row r="195">
      <c r="D195" s="2">
        <f>SUM(P76,P86,P96,P106,P116,P126,AK126,AK116,AK106,AK96,AK76,AK86)</f>
        <v>38.29644032</v>
      </c>
      <c r="P195" s="147">
        <f>SUM(D195,D197,D200)</f>
        <v>167.1091527</v>
      </c>
      <c r="AM195" s="158"/>
      <c r="AN195" s="158"/>
      <c r="AO195" s="158"/>
    </row>
    <row r="196">
      <c r="D196" s="365" t="s">
        <v>581</v>
      </c>
      <c r="AM196" s="158"/>
      <c r="AN196" s="158"/>
      <c r="AO196" s="158"/>
    </row>
    <row r="197">
      <c r="D197" s="2">
        <f>SUM(P150,P140,P160,P170,P180,P190,AK190,AK180,AK170,AK160,AK150,AK140)</f>
        <v>38.6666684</v>
      </c>
      <c r="AM197" s="158"/>
      <c r="AN197" s="158"/>
      <c r="AO197" s="158"/>
    </row>
    <row r="198">
      <c r="D198" s="2"/>
      <c r="AM198" s="158"/>
      <c r="AN198" s="158"/>
      <c r="AO198" s="158"/>
    </row>
    <row r="199">
      <c r="D199" s="151" t="s">
        <v>582</v>
      </c>
      <c r="AM199" s="158"/>
      <c r="AN199" s="158"/>
      <c r="AO199" s="158"/>
    </row>
    <row r="200">
      <c r="D200" s="366">
        <f>SUM(P11,P21,P31,P41,P51,P61,AK11,AK21,AK31,AK41,AK51,AK61)</f>
        <v>90.14604395</v>
      </c>
      <c r="P200" s="147">
        <f>P207*7820</f>
        <v>167109.1527</v>
      </c>
      <c r="AM200" s="158"/>
      <c r="AN200" s="158"/>
      <c r="AO200" s="158"/>
    </row>
    <row r="201">
      <c r="D201" s="2"/>
      <c r="P201" s="147">
        <f>P200/1000</f>
        <v>167.1091527</v>
      </c>
      <c r="AM201" s="158"/>
      <c r="AN201" s="158"/>
      <c r="AO201" s="158"/>
    </row>
    <row r="202">
      <c r="D202" s="2"/>
      <c r="AM202" s="158"/>
      <c r="AN202" s="158"/>
      <c r="AO202" s="158"/>
    </row>
    <row r="203">
      <c r="D203" s="2"/>
      <c r="AM203" s="158"/>
      <c r="AN203" s="158"/>
      <c r="AO203" s="158"/>
    </row>
    <row r="204">
      <c r="D204" s="2"/>
      <c r="AM204" s="158"/>
      <c r="AN204" s="158"/>
      <c r="AO204" s="158"/>
    </row>
    <row r="205">
      <c r="D205" s="2"/>
      <c r="AM205" s="158"/>
      <c r="AN205" s="158"/>
      <c r="AO205" s="158"/>
    </row>
    <row r="206">
      <c r="D206" s="365" t="s">
        <v>583</v>
      </c>
      <c r="P206" s="149" t="s">
        <v>584</v>
      </c>
      <c r="AM206" s="158"/>
      <c r="AN206" s="158"/>
      <c r="AO206" s="158"/>
    </row>
    <row r="207">
      <c r="D207" s="366">
        <f>SUM(N10,N20,N30,N40,N50,N60,AI10,AI20,AI30,AI40,AI50,AI60)</f>
        <v>11.5276271</v>
      </c>
      <c r="P207" s="147">
        <f>SUM(D207,D209,D211)</f>
        <v>21.36945686</v>
      </c>
      <c r="R207" s="44">
        <v>21.124</v>
      </c>
      <c r="AM207" s="158"/>
      <c r="AN207" s="158"/>
      <c r="AO207" s="158"/>
    </row>
    <row r="208">
      <c r="D208" s="365" t="s">
        <v>585</v>
      </c>
      <c r="G208" s="147">
        <f>G209+G210+D207</f>
        <v>20.3076271</v>
      </c>
      <c r="AM208" s="158"/>
      <c r="AN208" s="158"/>
      <c r="AO208" s="158"/>
    </row>
    <row r="209">
      <c r="D209" s="2">
        <f>SUM(N75,N85,N95,N105,N115,N125,AI125,AI115,AI105,AI95,AI85,AI75)</f>
        <v>4.897243008</v>
      </c>
      <c r="G209" s="44">
        <v>5.12</v>
      </c>
      <c r="AM209" s="158"/>
      <c r="AN209" s="158"/>
      <c r="AO209" s="158"/>
    </row>
    <row r="210">
      <c r="D210" s="365" t="s">
        <v>586</v>
      </c>
      <c r="G210" s="44">
        <v>3.66</v>
      </c>
      <c r="AM210" s="158"/>
      <c r="AN210" s="158"/>
      <c r="AO210" s="158"/>
    </row>
    <row r="211">
      <c r="D211" s="2">
        <f>SUM(N75,N85,N159,N169,N179,N189,AI189,AI179,AI169,AI159,AI149,AI139)</f>
        <v>4.944586752</v>
      </c>
      <c r="AM211" s="158"/>
      <c r="AN211" s="158"/>
      <c r="AO211" s="158"/>
    </row>
    <row r="212">
      <c r="AM212" s="158"/>
      <c r="AN212" s="158"/>
      <c r="AO212" s="158"/>
    </row>
    <row r="213">
      <c r="AM213" s="158"/>
      <c r="AN213" s="158"/>
      <c r="AO213" s="158"/>
    </row>
    <row r="214">
      <c r="AM214" s="158"/>
      <c r="AN214" s="158"/>
      <c r="AO214" s="158"/>
    </row>
    <row r="215">
      <c r="AM215" s="158"/>
      <c r="AN215" s="158"/>
      <c r="AO215" s="158"/>
    </row>
    <row r="216">
      <c r="AM216" s="158"/>
      <c r="AN216" s="158"/>
      <c r="AO216" s="158"/>
    </row>
    <row r="217">
      <c r="AM217" s="158"/>
      <c r="AN217" s="158"/>
      <c r="AO217" s="158"/>
    </row>
    <row r="218">
      <c r="AM218" s="158"/>
      <c r="AN218" s="158"/>
      <c r="AO218" s="158"/>
    </row>
    <row r="219">
      <c r="AM219" s="158"/>
      <c r="AN219" s="158"/>
      <c r="AO219" s="158"/>
    </row>
    <row r="220">
      <c r="AM220" s="158"/>
      <c r="AN220" s="158"/>
      <c r="AO220" s="158"/>
    </row>
    <row r="221">
      <c r="AM221" s="158"/>
      <c r="AN221" s="158"/>
      <c r="AO221" s="158"/>
    </row>
    <row r="222">
      <c r="AM222" s="158"/>
      <c r="AN222" s="158"/>
      <c r="AO222" s="158"/>
    </row>
    <row r="223">
      <c r="AM223" s="158"/>
      <c r="AN223" s="158"/>
      <c r="AO223" s="158"/>
    </row>
    <row r="224">
      <c r="AM224" s="158"/>
      <c r="AN224" s="158"/>
      <c r="AO224" s="158"/>
    </row>
    <row r="225">
      <c r="AM225" s="158"/>
      <c r="AN225" s="158"/>
      <c r="AO225" s="158"/>
    </row>
    <row r="226">
      <c r="AM226" s="158"/>
      <c r="AN226" s="158"/>
      <c r="AO226" s="158"/>
    </row>
    <row r="227">
      <c r="AM227" s="158"/>
      <c r="AN227" s="158"/>
      <c r="AO227" s="158"/>
    </row>
    <row r="228">
      <c r="AM228" s="158"/>
      <c r="AN228" s="158"/>
      <c r="AO228" s="158"/>
    </row>
    <row r="229">
      <c r="AM229" s="158"/>
      <c r="AN229" s="158"/>
      <c r="AO229" s="158"/>
    </row>
    <row r="230">
      <c r="AM230" s="158"/>
      <c r="AN230" s="158"/>
      <c r="AO230" s="158"/>
    </row>
    <row r="231">
      <c r="AM231" s="158"/>
      <c r="AN231" s="158"/>
      <c r="AO231" s="158"/>
    </row>
    <row r="232">
      <c r="AM232" s="158"/>
      <c r="AN232" s="158"/>
      <c r="AO232" s="158"/>
    </row>
    <row r="233">
      <c r="AM233" s="158"/>
      <c r="AN233" s="158"/>
      <c r="AO233" s="158"/>
    </row>
    <row r="234">
      <c r="AM234" s="158"/>
      <c r="AN234" s="158"/>
      <c r="AO234" s="158"/>
    </row>
    <row r="235">
      <c r="AM235" s="158"/>
      <c r="AN235" s="158"/>
      <c r="AO235" s="158"/>
    </row>
    <row r="236">
      <c r="AM236" s="158"/>
      <c r="AN236" s="158"/>
      <c r="AO236" s="158"/>
    </row>
    <row r="237">
      <c r="AM237" s="158"/>
      <c r="AN237" s="158"/>
      <c r="AO237" s="158"/>
    </row>
    <row r="238">
      <c r="AM238" s="158"/>
      <c r="AN238" s="158"/>
      <c r="AO238" s="158"/>
    </row>
    <row r="239">
      <c r="AM239" s="158"/>
      <c r="AN239" s="158"/>
      <c r="AO239" s="158"/>
    </row>
    <row r="240">
      <c r="AM240" s="158"/>
      <c r="AN240" s="158"/>
      <c r="AO240" s="158"/>
    </row>
    <row r="241">
      <c r="AM241" s="158"/>
      <c r="AN241" s="158"/>
      <c r="AO241" s="158"/>
    </row>
    <row r="242">
      <c r="AM242" s="158"/>
      <c r="AN242" s="158"/>
      <c r="AO242" s="158"/>
    </row>
    <row r="243">
      <c r="AM243" s="158"/>
      <c r="AN243" s="158"/>
      <c r="AO243" s="158"/>
    </row>
    <row r="244">
      <c r="AM244" s="158"/>
      <c r="AN244" s="158"/>
      <c r="AO244" s="158"/>
    </row>
    <row r="245">
      <c r="AM245" s="158"/>
      <c r="AN245" s="158"/>
      <c r="AO245" s="158"/>
    </row>
    <row r="246">
      <c r="AM246" s="158"/>
      <c r="AN246" s="158"/>
      <c r="AO246" s="158"/>
    </row>
    <row r="247">
      <c r="AM247" s="158"/>
      <c r="AN247" s="158"/>
      <c r="AO247" s="158"/>
    </row>
    <row r="248">
      <c r="AM248" s="158"/>
      <c r="AN248" s="158"/>
      <c r="AO248" s="158"/>
    </row>
    <row r="249">
      <c r="AM249" s="158"/>
      <c r="AN249" s="158"/>
      <c r="AO249" s="158"/>
    </row>
    <row r="250">
      <c r="AM250" s="158"/>
      <c r="AN250" s="158"/>
      <c r="AO250" s="158"/>
    </row>
    <row r="251">
      <c r="AM251" s="158"/>
      <c r="AN251" s="158"/>
      <c r="AO251" s="158"/>
    </row>
    <row r="252">
      <c r="AM252" s="158"/>
      <c r="AN252" s="158"/>
      <c r="AO252" s="158"/>
    </row>
    <row r="253">
      <c r="AM253" s="158"/>
      <c r="AN253" s="158"/>
      <c r="AO253" s="158"/>
    </row>
    <row r="254">
      <c r="AM254" s="158"/>
      <c r="AN254" s="158"/>
      <c r="AO254" s="158"/>
    </row>
    <row r="255">
      <c r="AM255" s="158"/>
      <c r="AN255" s="158"/>
      <c r="AO255" s="158"/>
    </row>
    <row r="256">
      <c r="AM256" s="158"/>
      <c r="AN256" s="158"/>
      <c r="AO256" s="158"/>
    </row>
    <row r="257">
      <c r="AM257" s="158"/>
      <c r="AN257" s="158"/>
      <c r="AO257" s="158"/>
    </row>
    <row r="258">
      <c r="AM258" s="158"/>
      <c r="AN258" s="158"/>
      <c r="AO258" s="158"/>
    </row>
    <row r="259">
      <c r="AM259" s="158"/>
      <c r="AN259" s="158"/>
      <c r="AO259" s="158"/>
    </row>
    <row r="260">
      <c r="AM260" s="158"/>
      <c r="AN260" s="158"/>
      <c r="AO260" s="158"/>
    </row>
    <row r="261">
      <c r="AM261" s="158"/>
      <c r="AN261" s="158"/>
      <c r="AO261" s="158"/>
    </row>
    <row r="262">
      <c r="AM262" s="158"/>
      <c r="AN262" s="158"/>
      <c r="AO262" s="158"/>
    </row>
    <row r="263">
      <c r="AM263" s="158"/>
      <c r="AN263" s="158"/>
      <c r="AO263" s="158"/>
    </row>
    <row r="264">
      <c r="AM264" s="158"/>
      <c r="AN264" s="158"/>
      <c r="AO264" s="158"/>
    </row>
    <row r="265">
      <c r="AM265" s="158"/>
      <c r="AN265" s="158"/>
      <c r="AO265" s="158"/>
    </row>
    <row r="266">
      <c r="AM266" s="158"/>
      <c r="AN266" s="158"/>
      <c r="AO266" s="158"/>
    </row>
    <row r="267">
      <c r="AM267" s="158"/>
      <c r="AN267" s="158"/>
      <c r="AO267" s="158"/>
    </row>
    <row r="268">
      <c r="AM268" s="158"/>
      <c r="AN268" s="158"/>
      <c r="AO268" s="158"/>
    </row>
    <row r="269">
      <c r="AM269" s="158"/>
      <c r="AN269" s="158"/>
      <c r="AO269" s="158"/>
    </row>
    <row r="270">
      <c r="AM270" s="158"/>
      <c r="AN270" s="158"/>
      <c r="AO270" s="158"/>
    </row>
    <row r="271">
      <c r="AM271" s="158"/>
      <c r="AN271" s="158"/>
      <c r="AO271" s="158"/>
    </row>
    <row r="272">
      <c r="AM272" s="158"/>
      <c r="AN272" s="158"/>
      <c r="AO272" s="158"/>
    </row>
    <row r="273">
      <c r="AM273" s="158"/>
      <c r="AN273" s="158"/>
      <c r="AO273" s="158"/>
    </row>
    <row r="274">
      <c r="AM274" s="158"/>
      <c r="AN274" s="158"/>
      <c r="AO274" s="158"/>
    </row>
    <row r="275">
      <c r="AM275" s="158"/>
      <c r="AN275" s="158"/>
      <c r="AO275" s="158"/>
    </row>
    <row r="276">
      <c r="AM276" s="158"/>
      <c r="AN276" s="158"/>
      <c r="AO276" s="158"/>
    </row>
    <row r="277">
      <c r="AM277" s="158"/>
      <c r="AN277" s="158"/>
      <c r="AO277" s="158"/>
    </row>
    <row r="278">
      <c r="AM278" s="158"/>
      <c r="AN278" s="158"/>
      <c r="AO278" s="158"/>
    </row>
    <row r="279">
      <c r="AM279" s="158"/>
      <c r="AN279" s="158"/>
      <c r="AO279" s="158"/>
    </row>
    <row r="280">
      <c r="AM280" s="158"/>
      <c r="AN280" s="158"/>
      <c r="AO280" s="158"/>
    </row>
    <row r="281">
      <c r="AM281" s="158"/>
      <c r="AN281" s="158"/>
      <c r="AO281" s="158"/>
    </row>
    <row r="282">
      <c r="AM282" s="158"/>
      <c r="AN282" s="158"/>
      <c r="AO282" s="158"/>
    </row>
    <row r="283">
      <c r="AM283" s="158"/>
      <c r="AN283" s="158"/>
      <c r="AO283" s="158"/>
    </row>
    <row r="284">
      <c r="AM284" s="158"/>
      <c r="AN284" s="158"/>
      <c r="AO284" s="158"/>
    </row>
    <row r="285">
      <c r="AM285" s="158"/>
      <c r="AN285" s="158"/>
      <c r="AO285" s="158"/>
    </row>
    <row r="286">
      <c r="AM286" s="158"/>
      <c r="AN286" s="158"/>
      <c r="AO286" s="158"/>
    </row>
    <row r="287">
      <c r="AM287" s="158"/>
      <c r="AN287" s="158"/>
      <c r="AO287" s="158"/>
    </row>
    <row r="288">
      <c r="AM288" s="158"/>
      <c r="AN288" s="158"/>
      <c r="AO288" s="158"/>
    </row>
    <row r="289">
      <c r="AM289" s="158"/>
      <c r="AN289" s="158"/>
      <c r="AO289" s="158"/>
    </row>
    <row r="290">
      <c r="AM290" s="158"/>
      <c r="AN290" s="158"/>
      <c r="AO290" s="158"/>
    </row>
    <row r="291">
      <c r="AM291" s="158"/>
      <c r="AN291" s="158"/>
      <c r="AO291" s="158"/>
    </row>
    <row r="292">
      <c r="AM292" s="158"/>
      <c r="AN292" s="158"/>
      <c r="AO292" s="158"/>
    </row>
    <row r="293">
      <c r="AM293" s="158"/>
      <c r="AN293" s="158"/>
      <c r="AO293" s="158"/>
    </row>
    <row r="294">
      <c r="AM294" s="158"/>
      <c r="AN294" s="158"/>
      <c r="AO294" s="158"/>
    </row>
    <row r="295">
      <c r="AM295" s="158"/>
      <c r="AN295" s="158"/>
      <c r="AO295" s="158"/>
    </row>
    <row r="296">
      <c r="AM296" s="158"/>
      <c r="AN296" s="158"/>
      <c r="AO296" s="158"/>
    </row>
    <row r="297">
      <c r="AM297" s="158"/>
      <c r="AN297" s="158"/>
      <c r="AO297" s="158"/>
    </row>
    <row r="298">
      <c r="AM298" s="158"/>
      <c r="AN298" s="158"/>
      <c r="AO298" s="158"/>
    </row>
    <row r="299">
      <c r="AM299" s="158"/>
      <c r="AN299" s="158"/>
      <c r="AO299" s="158"/>
    </row>
    <row r="300">
      <c r="AM300" s="158"/>
      <c r="AN300" s="158"/>
      <c r="AO300" s="158"/>
    </row>
    <row r="301">
      <c r="AM301" s="158"/>
      <c r="AN301" s="158"/>
      <c r="AO301" s="158"/>
    </row>
    <row r="302">
      <c r="AM302" s="158"/>
      <c r="AN302" s="158"/>
      <c r="AO302" s="158"/>
    </row>
    <row r="303">
      <c r="AM303" s="158"/>
      <c r="AN303" s="158"/>
      <c r="AO303" s="158"/>
    </row>
    <row r="304">
      <c r="AM304" s="158"/>
      <c r="AN304" s="158"/>
      <c r="AO304" s="158"/>
    </row>
    <row r="305">
      <c r="AM305" s="158"/>
      <c r="AN305" s="158"/>
      <c r="AO305" s="158"/>
    </row>
    <row r="306">
      <c r="AM306" s="158"/>
      <c r="AN306" s="158"/>
      <c r="AO306" s="158"/>
    </row>
    <row r="307">
      <c r="AM307" s="158"/>
      <c r="AN307" s="158"/>
      <c r="AO307" s="158"/>
    </row>
    <row r="308">
      <c r="AM308" s="158"/>
      <c r="AN308" s="158"/>
      <c r="AO308" s="158"/>
    </row>
    <row r="309">
      <c r="AM309" s="158"/>
      <c r="AN309" s="158"/>
      <c r="AO309" s="158"/>
    </row>
    <row r="310">
      <c r="AM310" s="158"/>
      <c r="AN310" s="158"/>
      <c r="AO310" s="158"/>
    </row>
    <row r="311">
      <c r="AM311" s="158"/>
      <c r="AN311" s="158"/>
      <c r="AO311" s="158"/>
    </row>
    <row r="312">
      <c r="AM312" s="158"/>
      <c r="AN312" s="158"/>
      <c r="AO312" s="158"/>
    </row>
    <row r="313">
      <c r="AM313" s="158"/>
      <c r="AN313" s="158"/>
      <c r="AO313" s="158"/>
    </row>
    <row r="314">
      <c r="AM314" s="158"/>
      <c r="AN314" s="158"/>
      <c r="AO314" s="158"/>
    </row>
    <row r="315">
      <c r="AM315" s="158"/>
      <c r="AN315" s="158"/>
      <c r="AO315" s="158"/>
    </row>
    <row r="316">
      <c r="AM316" s="158"/>
      <c r="AN316" s="158"/>
      <c r="AO316" s="158"/>
    </row>
    <row r="317">
      <c r="AM317" s="158"/>
      <c r="AN317" s="158"/>
      <c r="AO317" s="158"/>
    </row>
    <row r="318">
      <c r="AM318" s="158"/>
      <c r="AN318" s="158"/>
      <c r="AO318" s="158"/>
    </row>
    <row r="319">
      <c r="AM319" s="158"/>
      <c r="AN319" s="158"/>
      <c r="AO319" s="158"/>
    </row>
    <row r="320">
      <c r="AM320" s="158"/>
      <c r="AN320" s="158"/>
      <c r="AO320" s="158"/>
    </row>
    <row r="321">
      <c r="AM321" s="158"/>
      <c r="AN321" s="158"/>
      <c r="AO321" s="158"/>
    </row>
    <row r="322">
      <c r="AM322" s="158"/>
      <c r="AN322" s="158"/>
      <c r="AO322" s="158"/>
    </row>
    <row r="323">
      <c r="AM323" s="158"/>
      <c r="AN323" s="158"/>
      <c r="AO323" s="158"/>
    </row>
    <row r="324">
      <c r="AM324" s="158"/>
      <c r="AN324" s="158"/>
      <c r="AO324" s="158"/>
    </row>
    <row r="325">
      <c r="AM325" s="158"/>
      <c r="AN325" s="158"/>
      <c r="AO325" s="158"/>
    </row>
    <row r="326">
      <c r="AM326" s="158"/>
      <c r="AN326" s="158"/>
      <c r="AO326" s="158"/>
    </row>
    <row r="327">
      <c r="AM327" s="158"/>
      <c r="AN327" s="158"/>
      <c r="AO327" s="158"/>
    </row>
    <row r="328">
      <c r="AM328" s="158"/>
      <c r="AN328" s="158"/>
      <c r="AO328" s="158"/>
    </row>
    <row r="329">
      <c r="AM329" s="158"/>
      <c r="AN329" s="158"/>
      <c r="AO329" s="158"/>
    </row>
    <row r="330">
      <c r="AM330" s="158"/>
      <c r="AN330" s="158"/>
      <c r="AO330" s="158"/>
    </row>
    <row r="331">
      <c r="AM331" s="158"/>
      <c r="AN331" s="158"/>
      <c r="AO331" s="158"/>
    </row>
    <row r="332">
      <c r="AM332" s="158"/>
      <c r="AN332" s="158"/>
      <c r="AO332" s="158"/>
    </row>
    <row r="333">
      <c r="AM333" s="158"/>
      <c r="AN333" s="158"/>
      <c r="AO333" s="158"/>
    </row>
    <row r="334">
      <c r="AM334" s="158"/>
      <c r="AN334" s="158"/>
      <c r="AO334" s="158"/>
    </row>
    <row r="335">
      <c r="AM335" s="158"/>
      <c r="AN335" s="158"/>
      <c r="AO335" s="158"/>
    </row>
    <row r="336">
      <c r="AM336" s="158"/>
      <c r="AN336" s="158"/>
      <c r="AO336" s="158"/>
    </row>
    <row r="337">
      <c r="AM337" s="158"/>
      <c r="AN337" s="158"/>
      <c r="AO337" s="158"/>
    </row>
    <row r="338">
      <c r="AM338" s="158"/>
      <c r="AN338" s="158"/>
      <c r="AO338" s="158"/>
    </row>
    <row r="339">
      <c r="AM339" s="158"/>
      <c r="AN339" s="158"/>
      <c r="AO339" s="158"/>
    </row>
    <row r="340">
      <c r="AM340" s="158"/>
      <c r="AN340" s="158"/>
      <c r="AO340" s="158"/>
    </row>
    <row r="341">
      <c r="AM341" s="158"/>
      <c r="AN341" s="158"/>
      <c r="AO341" s="158"/>
    </row>
    <row r="342">
      <c r="AM342" s="158"/>
      <c r="AN342" s="158"/>
      <c r="AO342" s="158"/>
    </row>
    <row r="343">
      <c r="AM343" s="158"/>
      <c r="AN343" s="158"/>
      <c r="AO343" s="158"/>
    </row>
    <row r="344">
      <c r="AM344" s="158"/>
      <c r="AN344" s="158"/>
      <c r="AO344" s="158"/>
    </row>
    <row r="345">
      <c r="AM345" s="158"/>
      <c r="AN345" s="158"/>
      <c r="AO345" s="158"/>
    </row>
    <row r="346">
      <c r="AM346" s="158"/>
      <c r="AN346" s="158"/>
      <c r="AO346" s="158"/>
    </row>
    <row r="347">
      <c r="AM347" s="158"/>
      <c r="AN347" s="158"/>
      <c r="AO347" s="158"/>
    </row>
    <row r="348">
      <c r="AM348" s="158"/>
      <c r="AN348" s="158"/>
      <c r="AO348" s="158"/>
    </row>
    <row r="349">
      <c r="AM349" s="158"/>
      <c r="AN349" s="158"/>
      <c r="AO349" s="158"/>
    </row>
    <row r="350">
      <c r="AM350" s="158"/>
      <c r="AN350" s="158"/>
      <c r="AO350" s="158"/>
    </row>
    <row r="351">
      <c r="AM351" s="158"/>
      <c r="AN351" s="158"/>
      <c r="AO351" s="158"/>
    </row>
    <row r="352">
      <c r="AM352" s="158"/>
      <c r="AN352" s="158"/>
      <c r="AO352" s="158"/>
    </row>
    <row r="353">
      <c r="AM353" s="158"/>
      <c r="AN353" s="158"/>
      <c r="AO353" s="158"/>
    </row>
    <row r="354">
      <c r="AM354" s="158"/>
      <c r="AN354" s="158"/>
      <c r="AO354" s="158"/>
    </row>
    <row r="355">
      <c r="AM355" s="158"/>
      <c r="AN355" s="158"/>
      <c r="AO355" s="158"/>
    </row>
    <row r="356">
      <c r="AM356" s="158"/>
      <c r="AN356" s="158"/>
      <c r="AO356" s="158"/>
    </row>
    <row r="357">
      <c r="AM357" s="158"/>
      <c r="AN357" s="158"/>
      <c r="AO357" s="158"/>
    </row>
    <row r="358">
      <c r="AM358" s="158"/>
      <c r="AN358" s="158"/>
      <c r="AO358" s="158"/>
    </row>
    <row r="359">
      <c r="AM359" s="158"/>
      <c r="AN359" s="158"/>
      <c r="AO359" s="158"/>
    </row>
    <row r="360">
      <c r="AM360" s="158"/>
      <c r="AN360" s="158"/>
      <c r="AO360" s="158"/>
    </row>
    <row r="361">
      <c r="AM361" s="158"/>
      <c r="AN361" s="158"/>
      <c r="AO361" s="158"/>
    </row>
    <row r="362">
      <c r="AM362" s="158"/>
      <c r="AN362" s="158"/>
      <c r="AO362" s="158"/>
    </row>
    <row r="363">
      <c r="AM363" s="158"/>
      <c r="AN363" s="158"/>
      <c r="AO363" s="158"/>
    </row>
    <row r="364">
      <c r="AM364" s="158"/>
      <c r="AN364" s="158"/>
      <c r="AO364" s="158"/>
    </row>
    <row r="365">
      <c r="AM365" s="158"/>
      <c r="AN365" s="158"/>
      <c r="AO365" s="158"/>
    </row>
    <row r="366">
      <c r="AM366" s="158"/>
      <c r="AN366" s="158"/>
      <c r="AO366" s="158"/>
    </row>
    <row r="367">
      <c r="AM367" s="158"/>
      <c r="AN367" s="158"/>
      <c r="AO367" s="158"/>
    </row>
    <row r="368">
      <c r="AM368" s="158"/>
      <c r="AN368" s="158"/>
      <c r="AO368" s="158"/>
    </row>
    <row r="369">
      <c r="AM369" s="158"/>
      <c r="AN369" s="158"/>
      <c r="AO369" s="158"/>
    </row>
    <row r="370">
      <c r="AM370" s="158"/>
      <c r="AN370" s="158"/>
      <c r="AO370" s="158"/>
    </row>
    <row r="371">
      <c r="AM371" s="158"/>
      <c r="AN371" s="158"/>
      <c r="AO371" s="158"/>
    </row>
    <row r="372">
      <c r="AM372" s="158"/>
      <c r="AN372" s="158"/>
      <c r="AO372" s="158"/>
    </row>
    <row r="373">
      <c r="AM373" s="158"/>
      <c r="AN373" s="158"/>
      <c r="AO373" s="158"/>
    </row>
    <row r="374">
      <c r="AM374" s="158"/>
      <c r="AN374" s="158"/>
      <c r="AO374" s="158"/>
    </row>
    <row r="375">
      <c r="AM375" s="158"/>
      <c r="AN375" s="158"/>
      <c r="AO375" s="158"/>
    </row>
    <row r="376">
      <c r="AM376" s="158"/>
      <c r="AN376" s="158"/>
      <c r="AO376" s="158"/>
    </row>
    <row r="377">
      <c r="AM377" s="158"/>
      <c r="AN377" s="158"/>
      <c r="AO377" s="158"/>
    </row>
    <row r="378">
      <c r="AM378" s="158"/>
      <c r="AN378" s="158"/>
      <c r="AO378" s="158"/>
    </row>
    <row r="379">
      <c r="AM379" s="158"/>
      <c r="AN379" s="158"/>
      <c r="AO379" s="158"/>
    </row>
    <row r="380">
      <c r="AM380" s="158"/>
      <c r="AN380" s="158"/>
      <c r="AO380" s="158"/>
    </row>
    <row r="381">
      <c r="AM381" s="158"/>
      <c r="AN381" s="158"/>
      <c r="AO381" s="158"/>
    </row>
    <row r="382">
      <c r="AM382" s="158"/>
      <c r="AN382" s="158"/>
      <c r="AO382" s="158"/>
    </row>
    <row r="383">
      <c r="AM383" s="158"/>
      <c r="AN383" s="158"/>
      <c r="AO383" s="158"/>
    </row>
    <row r="384">
      <c r="AM384" s="158"/>
      <c r="AN384" s="158"/>
      <c r="AO384" s="158"/>
    </row>
    <row r="385">
      <c r="AM385" s="158"/>
      <c r="AN385" s="158"/>
      <c r="AO385" s="158"/>
    </row>
    <row r="386">
      <c r="AM386" s="158"/>
      <c r="AN386" s="158"/>
      <c r="AO386" s="158"/>
    </row>
    <row r="387">
      <c r="AM387" s="158"/>
      <c r="AN387" s="158"/>
      <c r="AO387" s="158"/>
    </row>
    <row r="388">
      <c r="AM388" s="158"/>
      <c r="AN388" s="158"/>
      <c r="AO388" s="158"/>
    </row>
    <row r="389">
      <c r="AM389" s="158"/>
      <c r="AN389" s="158"/>
      <c r="AO389" s="158"/>
    </row>
    <row r="390">
      <c r="AM390" s="158"/>
      <c r="AN390" s="158"/>
      <c r="AO390" s="158"/>
    </row>
    <row r="391">
      <c r="AM391" s="158"/>
      <c r="AN391" s="158"/>
      <c r="AO391" s="158"/>
    </row>
    <row r="392">
      <c r="AM392" s="158"/>
      <c r="AN392" s="158"/>
      <c r="AO392" s="158"/>
    </row>
    <row r="393">
      <c r="AM393" s="158"/>
      <c r="AN393" s="158"/>
      <c r="AO393" s="158"/>
    </row>
    <row r="394">
      <c r="AM394" s="158"/>
      <c r="AN394" s="158"/>
      <c r="AO394" s="158"/>
    </row>
    <row r="395">
      <c r="AM395" s="158"/>
      <c r="AN395" s="158"/>
      <c r="AO395" s="158"/>
    </row>
    <row r="396">
      <c r="AM396" s="158"/>
      <c r="AN396" s="158"/>
      <c r="AO396" s="158"/>
    </row>
    <row r="397">
      <c r="AM397" s="158"/>
      <c r="AN397" s="158"/>
      <c r="AO397" s="158"/>
    </row>
    <row r="398">
      <c r="AM398" s="158"/>
      <c r="AN398" s="158"/>
      <c r="AO398" s="158"/>
    </row>
    <row r="399">
      <c r="AM399" s="158"/>
      <c r="AN399" s="158"/>
      <c r="AO399" s="158"/>
    </row>
    <row r="400">
      <c r="AM400" s="158"/>
      <c r="AN400" s="158"/>
      <c r="AO400" s="158"/>
    </row>
    <row r="401">
      <c r="AM401" s="158"/>
      <c r="AN401" s="158"/>
      <c r="AO401" s="158"/>
    </row>
    <row r="402">
      <c r="AM402" s="158"/>
      <c r="AN402" s="158"/>
      <c r="AO402" s="158"/>
    </row>
    <row r="403">
      <c r="AM403" s="158"/>
      <c r="AN403" s="158"/>
      <c r="AO403" s="158"/>
    </row>
    <row r="404">
      <c r="AM404" s="158"/>
      <c r="AN404" s="158"/>
      <c r="AO404" s="158"/>
    </row>
    <row r="405">
      <c r="AM405" s="158"/>
      <c r="AN405" s="158"/>
      <c r="AO405" s="158"/>
    </row>
    <row r="406">
      <c r="AM406" s="158"/>
      <c r="AN406" s="158"/>
      <c r="AO406" s="158"/>
    </row>
    <row r="407">
      <c r="AM407" s="158"/>
      <c r="AN407" s="158"/>
      <c r="AO407" s="158"/>
    </row>
    <row r="408">
      <c r="AM408" s="158"/>
      <c r="AN408" s="158"/>
      <c r="AO408" s="158"/>
    </row>
    <row r="409">
      <c r="AM409" s="158"/>
      <c r="AN409" s="158"/>
      <c r="AO409" s="158"/>
    </row>
    <row r="410">
      <c r="AM410" s="158"/>
      <c r="AN410" s="158"/>
      <c r="AO410" s="158"/>
    </row>
    <row r="411">
      <c r="AM411" s="158"/>
      <c r="AN411" s="158"/>
      <c r="AO411" s="158"/>
    </row>
    <row r="412">
      <c r="AM412" s="158"/>
      <c r="AN412" s="158"/>
      <c r="AO412" s="158"/>
    </row>
    <row r="413">
      <c r="AM413" s="158"/>
      <c r="AN413" s="158"/>
      <c r="AO413" s="158"/>
    </row>
    <row r="414">
      <c r="AM414" s="158"/>
      <c r="AN414" s="158"/>
      <c r="AO414" s="158"/>
    </row>
    <row r="415">
      <c r="AM415" s="158"/>
      <c r="AN415" s="158"/>
      <c r="AO415" s="158"/>
    </row>
    <row r="416">
      <c r="AM416" s="158"/>
      <c r="AN416" s="158"/>
      <c r="AO416" s="158"/>
    </row>
    <row r="417">
      <c r="AM417" s="158"/>
      <c r="AN417" s="158"/>
      <c r="AO417" s="158"/>
    </row>
    <row r="418">
      <c r="AM418" s="158"/>
      <c r="AN418" s="158"/>
      <c r="AO418" s="158"/>
    </row>
    <row r="419">
      <c r="AM419" s="158"/>
      <c r="AN419" s="158"/>
      <c r="AO419" s="158"/>
    </row>
    <row r="420">
      <c r="AM420" s="158"/>
      <c r="AN420" s="158"/>
      <c r="AO420" s="158"/>
    </row>
    <row r="421">
      <c r="AM421" s="158"/>
      <c r="AN421" s="158"/>
      <c r="AO421" s="158"/>
    </row>
    <row r="422">
      <c r="AM422" s="158"/>
      <c r="AN422" s="158"/>
      <c r="AO422" s="158"/>
    </row>
    <row r="423">
      <c r="AM423" s="158"/>
      <c r="AN423" s="158"/>
      <c r="AO423" s="158"/>
    </row>
    <row r="424">
      <c r="AM424" s="158"/>
      <c r="AN424" s="158"/>
      <c r="AO424" s="158"/>
    </row>
    <row r="425">
      <c r="AM425" s="158"/>
      <c r="AN425" s="158"/>
      <c r="AO425" s="158"/>
    </row>
    <row r="426">
      <c r="AM426" s="158"/>
      <c r="AN426" s="158"/>
      <c r="AO426" s="158"/>
    </row>
    <row r="427">
      <c r="AM427" s="158"/>
      <c r="AN427" s="158"/>
      <c r="AO427" s="158"/>
    </row>
    <row r="428">
      <c r="AM428" s="158"/>
      <c r="AN428" s="158"/>
      <c r="AO428" s="158"/>
    </row>
    <row r="429">
      <c r="AM429" s="158"/>
      <c r="AN429" s="158"/>
      <c r="AO429" s="158"/>
    </row>
    <row r="430">
      <c r="AM430" s="158"/>
      <c r="AN430" s="158"/>
      <c r="AO430" s="158"/>
    </row>
    <row r="431">
      <c r="AM431" s="158"/>
      <c r="AN431" s="158"/>
      <c r="AO431" s="158"/>
    </row>
    <row r="432">
      <c r="AM432" s="158"/>
      <c r="AN432" s="158"/>
      <c r="AO432" s="158"/>
    </row>
    <row r="433">
      <c r="AM433" s="158"/>
      <c r="AN433" s="158"/>
      <c r="AO433" s="158"/>
    </row>
    <row r="434">
      <c r="AM434" s="158"/>
      <c r="AN434" s="158"/>
      <c r="AO434" s="158"/>
    </row>
    <row r="435">
      <c r="AM435" s="158"/>
      <c r="AN435" s="158"/>
      <c r="AO435" s="158"/>
    </row>
    <row r="436">
      <c r="AM436" s="158"/>
      <c r="AN436" s="158"/>
      <c r="AO436" s="158"/>
    </row>
    <row r="437">
      <c r="AM437" s="158"/>
      <c r="AN437" s="158"/>
      <c r="AO437" s="158"/>
    </row>
    <row r="438">
      <c r="AM438" s="158"/>
      <c r="AN438" s="158"/>
      <c r="AO438" s="158"/>
    </row>
    <row r="439">
      <c r="AM439" s="158"/>
      <c r="AN439" s="158"/>
      <c r="AO439" s="158"/>
    </row>
    <row r="440">
      <c r="AM440" s="158"/>
      <c r="AN440" s="158"/>
      <c r="AO440" s="158"/>
    </row>
    <row r="441">
      <c r="AM441" s="158"/>
      <c r="AN441" s="158"/>
      <c r="AO441" s="158"/>
    </row>
    <row r="442">
      <c r="AM442" s="158"/>
      <c r="AN442" s="158"/>
      <c r="AO442" s="158"/>
    </row>
    <row r="443">
      <c r="AM443" s="158"/>
      <c r="AN443" s="158"/>
      <c r="AO443" s="158"/>
    </row>
    <row r="444">
      <c r="AM444" s="158"/>
      <c r="AN444" s="158"/>
      <c r="AO444" s="158"/>
    </row>
    <row r="445">
      <c r="AM445" s="158"/>
      <c r="AN445" s="158"/>
      <c r="AO445" s="158"/>
    </row>
    <row r="446">
      <c r="AM446" s="158"/>
      <c r="AN446" s="158"/>
      <c r="AO446" s="158"/>
    </row>
    <row r="447">
      <c r="AM447" s="158"/>
      <c r="AN447" s="158"/>
      <c r="AO447" s="158"/>
    </row>
    <row r="448">
      <c r="AM448" s="158"/>
      <c r="AN448" s="158"/>
      <c r="AO448" s="158"/>
    </row>
    <row r="449">
      <c r="AM449" s="158"/>
      <c r="AN449" s="158"/>
      <c r="AO449" s="158"/>
    </row>
    <row r="450">
      <c r="AM450" s="158"/>
      <c r="AN450" s="158"/>
      <c r="AO450" s="158"/>
    </row>
    <row r="451">
      <c r="AM451" s="158"/>
      <c r="AN451" s="158"/>
      <c r="AO451" s="158"/>
    </row>
    <row r="452">
      <c r="AM452" s="158"/>
      <c r="AN452" s="158"/>
      <c r="AO452" s="158"/>
    </row>
    <row r="453">
      <c r="AM453" s="158"/>
      <c r="AN453" s="158"/>
      <c r="AO453" s="158"/>
    </row>
    <row r="454">
      <c r="AM454" s="158"/>
      <c r="AN454" s="158"/>
      <c r="AO454" s="158"/>
    </row>
    <row r="455">
      <c r="AM455" s="158"/>
      <c r="AN455" s="158"/>
      <c r="AO455" s="158"/>
    </row>
    <row r="456">
      <c r="AM456" s="158"/>
      <c r="AN456" s="158"/>
      <c r="AO456" s="158"/>
    </row>
    <row r="457">
      <c r="AM457" s="158"/>
      <c r="AN457" s="158"/>
      <c r="AO457" s="158"/>
    </row>
    <row r="458">
      <c r="AM458" s="158"/>
      <c r="AN458" s="158"/>
      <c r="AO458" s="158"/>
    </row>
    <row r="459">
      <c r="AM459" s="158"/>
      <c r="AN459" s="158"/>
      <c r="AO459" s="158"/>
    </row>
    <row r="460">
      <c r="AM460" s="158"/>
      <c r="AN460" s="158"/>
      <c r="AO460" s="158"/>
    </row>
    <row r="461">
      <c r="AM461" s="158"/>
      <c r="AN461" s="158"/>
      <c r="AO461" s="158"/>
    </row>
    <row r="462">
      <c r="AM462" s="158"/>
      <c r="AN462" s="158"/>
      <c r="AO462" s="158"/>
    </row>
    <row r="463">
      <c r="AM463" s="158"/>
      <c r="AN463" s="158"/>
      <c r="AO463" s="158"/>
    </row>
    <row r="464">
      <c r="AM464" s="158"/>
      <c r="AN464" s="158"/>
      <c r="AO464" s="158"/>
    </row>
    <row r="465">
      <c r="AM465" s="158"/>
      <c r="AN465" s="158"/>
      <c r="AO465" s="158"/>
    </row>
    <row r="466">
      <c r="AM466" s="158"/>
      <c r="AN466" s="158"/>
      <c r="AO466" s="158"/>
    </row>
    <row r="467">
      <c r="AM467" s="158"/>
      <c r="AN467" s="158"/>
      <c r="AO467" s="158"/>
    </row>
    <row r="468">
      <c r="AM468" s="158"/>
      <c r="AN468" s="158"/>
      <c r="AO468" s="158"/>
    </row>
    <row r="469">
      <c r="AM469" s="158"/>
      <c r="AN469" s="158"/>
      <c r="AO469" s="158"/>
    </row>
    <row r="470">
      <c r="AM470" s="158"/>
      <c r="AN470" s="158"/>
      <c r="AO470" s="158"/>
    </row>
    <row r="471">
      <c r="AM471" s="158"/>
      <c r="AN471" s="158"/>
      <c r="AO471" s="158"/>
    </row>
    <row r="472">
      <c r="AM472" s="158"/>
      <c r="AN472" s="158"/>
      <c r="AO472" s="158"/>
    </row>
    <row r="473">
      <c r="AM473" s="158"/>
      <c r="AN473" s="158"/>
      <c r="AO473" s="158"/>
    </row>
    <row r="474">
      <c r="AM474" s="158"/>
      <c r="AN474" s="158"/>
      <c r="AO474" s="158"/>
    </row>
    <row r="475">
      <c r="AM475" s="158"/>
      <c r="AN475" s="158"/>
      <c r="AO475" s="158"/>
    </row>
    <row r="476">
      <c r="AM476" s="158"/>
      <c r="AN476" s="158"/>
      <c r="AO476" s="158"/>
    </row>
    <row r="477">
      <c r="AM477" s="158"/>
      <c r="AN477" s="158"/>
      <c r="AO477" s="158"/>
    </row>
    <row r="478">
      <c r="AM478" s="158"/>
      <c r="AN478" s="158"/>
      <c r="AO478" s="158"/>
    </row>
    <row r="479">
      <c r="AM479" s="158"/>
      <c r="AN479" s="158"/>
      <c r="AO479" s="158"/>
    </row>
    <row r="480">
      <c r="AM480" s="158"/>
      <c r="AN480" s="158"/>
      <c r="AO480" s="158"/>
    </row>
    <row r="481">
      <c r="AM481" s="158"/>
      <c r="AN481" s="158"/>
      <c r="AO481" s="158"/>
    </row>
    <row r="482">
      <c r="AM482" s="158"/>
      <c r="AN482" s="158"/>
      <c r="AO482" s="158"/>
    </row>
    <row r="483">
      <c r="AM483" s="158"/>
      <c r="AN483" s="158"/>
      <c r="AO483" s="158"/>
    </row>
    <row r="484">
      <c r="AM484" s="158"/>
      <c r="AN484" s="158"/>
      <c r="AO484" s="158"/>
    </row>
    <row r="485">
      <c r="AM485" s="158"/>
      <c r="AN485" s="158"/>
      <c r="AO485" s="158"/>
    </row>
    <row r="486">
      <c r="AM486" s="158"/>
      <c r="AN486" s="158"/>
      <c r="AO486" s="158"/>
    </row>
    <row r="487">
      <c r="AM487" s="158"/>
      <c r="AN487" s="158"/>
      <c r="AO487" s="158"/>
    </row>
    <row r="488">
      <c r="AM488" s="158"/>
      <c r="AN488" s="158"/>
      <c r="AO488" s="158"/>
    </row>
    <row r="489">
      <c r="AM489" s="158"/>
      <c r="AN489" s="158"/>
      <c r="AO489" s="158"/>
    </row>
    <row r="490">
      <c r="AM490" s="158"/>
      <c r="AN490" s="158"/>
      <c r="AO490" s="158"/>
    </row>
    <row r="491">
      <c r="AM491" s="158"/>
      <c r="AN491" s="158"/>
      <c r="AO491" s="158"/>
    </row>
    <row r="492">
      <c r="AM492" s="158"/>
      <c r="AN492" s="158"/>
      <c r="AO492" s="158"/>
    </row>
    <row r="493">
      <c r="AM493" s="158"/>
      <c r="AN493" s="158"/>
      <c r="AO493" s="158"/>
    </row>
    <row r="494">
      <c r="AM494" s="158"/>
      <c r="AN494" s="158"/>
      <c r="AO494" s="158"/>
    </row>
    <row r="495">
      <c r="AM495" s="158"/>
      <c r="AN495" s="158"/>
      <c r="AO495" s="158"/>
    </row>
    <row r="496">
      <c r="AM496" s="158"/>
      <c r="AN496" s="158"/>
      <c r="AO496" s="158"/>
    </row>
    <row r="497">
      <c r="AM497" s="158"/>
      <c r="AN497" s="158"/>
      <c r="AO497" s="158"/>
    </row>
    <row r="498">
      <c r="AM498" s="158"/>
      <c r="AN498" s="158"/>
      <c r="AO498" s="158"/>
    </row>
    <row r="499">
      <c r="AM499" s="158"/>
      <c r="AN499" s="158"/>
      <c r="AO499" s="158"/>
    </row>
    <row r="500">
      <c r="AM500" s="158"/>
      <c r="AN500" s="158"/>
      <c r="AO500" s="158"/>
    </row>
    <row r="501">
      <c r="AM501" s="158"/>
      <c r="AN501" s="158"/>
      <c r="AO501" s="158"/>
    </row>
    <row r="502">
      <c r="AM502" s="158"/>
      <c r="AN502" s="158"/>
      <c r="AO502" s="158"/>
    </row>
    <row r="503">
      <c r="AM503" s="158"/>
      <c r="AN503" s="158"/>
      <c r="AO503" s="158"/>
    </row>
    <row r="504">
      <c r="AM504" s="158"/>
      <c r="AN504" s="158"/>
      <c r="AO504" s="158"/>
    </row>
    <row r="505">
      <c r="AM505" s="158"/>
      <c r="AN505" s="158"/>
      <c r="AO505" s="158"/>
    </row>
    <row r="506">
      <c r="AM506" s="158"/>
      <c r="AN506" s="158"/>
      <c r="AO506" s="158"/>
    </row>
    <row r="507">
      <c r="AM507" s="158"/>
      <c r="AN507" s="158"/>
      <c r="AO507" s="158"/>
    </row>
    <row r="508">
      <c r="AM508" s="158"/>
      <c r="AN508" s="158"/>
      <c r="AO508" s="158"/>
    </row>
    <row r="509">
      <c r="AM509" s="158"/>
      <c r="AN509" s="158"/>
      <c r="AO509" s="158"/>
    </row>
    <row r="510">
      <c r="AM510" s="158"/>
      <c r="AN510" s="158"/>
      <c r="AO510" s="158"/>
    </row>
    <row r="511">
      <c r="AM511" s="158"/>
      <c r="AN511" s="158"/>
      <c r="AO511" s="158"/>
    </row>
    <row r="512">
      <c r="AM512" s="158"/>
      <c r="AN512" s="158"/>
      <c r="AO512" s="158"/>
    </row>
    <row r="513">
      <c r="AM513" s="158"/>
      <c r="AN513" s="158"/>
      <c r="AO513" s="158"/>
    </row>
    <row r="514">
      <c r="AM514" s="158"/>
      <c r="AN514" s="158"/>
      <c r="AO514" s="158"/>
    </row>
    <row r="515">
      <c r="AM515" s="158"/>
      <c r="AN515" s="158"/>
      <c r="AO515" s="158"/>
    </row>
    <row r="516">
      <c r="AM516" s="158"/>
      <c r="AN516" s="158"/>
      <c r="AO516" s="158"/>
    </row>
    <row r="517">
      <c r="AM517" s="158"/>
      <c r="AN517" s="158"/>
      <c r="AO517" s="158"/>
    </row>
    <row r="518">
      <c r="AM518" s="158"/>
      <c r="AN518" s="158"/>
      <c r="AO518" s="158"/>
    </row>
    <row r="519">
      <c r="AM519" s="158"/>
      <c r="AN519" s="158"/>
      <c r="AO519" s="158"/>
    </row>
    <row r="520">
      <c r="AM520" s="158"/>
      <c r="AN520" s="158"/>
      <c r="AO520" s="158"/>
    </row>
    <row r="521">
      <c r="AM521" s="158"/>
      <c r="AN521" s="158"/>
      <c r="AO521" s="158"/>
    </row>
    <row r="522">
      <c r="AM522" s="158"/>
      <c r="AN522" s="158"/>
      <c r="AO522" s="158"/>
    </row>
    <row r="523">
      <c r="AM523" s="158"/>
      <c r="AN523" s="158"/>
      <c r="AO523" s="158"/>
    </row>
    <row r="524">
      <c r="AM524" s="158"/>
      <c r="AN524" s="158"/>
      <c r="AO524" s="158"/>
    </row>
    <row r="525">
      <c r="AM525" s="158"/>
      <c r="AN525" s="158"/>
      <c r="AO525" s="158"/>
    </row>
    <row r="526">
      <c r="AM526" s="158"/>
      <c r="AN526" s="158"/>
      <c r="AO526" s="158"/>
    </row>
    <row r="527">
      <c r="AM527" s="158"/>
      <c r="AN527" s="158"/>
      <c r="AO527" s="158"/>
    </row>
    <row r="528">
      <c r="AM528" s="158"/>
      <c r="AN528" s="158"/>
      <c r="AO528" s="158"/>
    </row>
    <row r="529">
      <c r="AM529" s="158"/>
      <c r="AN529" s="158"/>
      <c r="AO529" s="158"/>
    </row>
    <row r="530">
      <c r="AM530" s="158"/>
      <c r="AN530" s="158"/>
      <c r="AO530" s="158"/>
    </row>
    <row r="531">
      <c r="AM531" s="158"/>
      <c r="AN531" s="158"/>
      <c r="AO531" s="158"/>
    </row>
    <row r="532">
      <c r="AM532" s="158"/>
      <c r="AN532" s="158"/>
      <c r="AO532" s="158"/>
    </row>
    <row r="533">
      <c r="AM533" s="158"/>
      <c r="AN533" s="158"/>
      <c r="AO533" s="158"/>
    </row>
    <row r="534">
      <c r="AM534" s="158"/>
      <c r="AN534" s="158"/>
      <c r="AO534" s="158"/>
    </row>
    <row r="535">
      <c r="AM535" s="158"/>
      <c r="AN535" s="158"/>
      <c r="AO535" s="158"/>
    </row>
    <row r="536">
      <c r="AM536" s="158"/>
      <c r="AN536" s="158"/>
      <c r="AO536" s="158"/>
    </row>
    <row r="537">
      <c r="AM537" s="158"/>
      <c r="AN537" s="158"/>
      <c r="AO537" s="158"/>
    </row>
    <row r="538">
      <c r="AM538" s="158"/>
      <c r="AN538" s="158"/>
      <c r="AO538" s="158"/>
    </row>
    <row r="539">
      <c r="AM539" s="158"/>
      <c r="AN539" s="158"/>
      <c r="AO539" s="158"/>
    </row>
    <row r="540">
      <c r="AM540" s="158"/>
      <c r="AN540" s="158"/>
      <c r="AO540" s="158"/>
    </row>
    <row r="541">
      <c r="AM541" s="158"/>
      <c r="AN541" s="158"/>
      <c r="AO541" s="158"/>
    </row>
    <row r="542">
      <c r="AM542" s="158"/>
      <c r="AN542" s="158"/>
      <c r="AO542" s="158"/>
    </row>
    <row r="543">
      <c r="AM543" s="158"/>
      <c r="AN543" s="158"/>
      <c r="AO543" s="158"/>
    </row>
    <row r="544">
      <c r="AM544" s="158"/>
      <c r="AN544" s="158"/>
      <c r="AO544" s="158"/>
    </row>
    <row r="545">
      <c r="AM545" s="158"/>
      <c r="AN545" s="158"/>
      <c r="AO545" s="158"/>
    </row>
    <row r="546">
      <c r="AM546" s="158"/>
      <c r="AN546" s="158"/>
      <c r="AO546" s="158"/>
    </row>
    <row r="547">
      <c r="AM547" s="158"/>
      <c r="AN547" s="158"/>
      <c r="AO547" s="158"/>
    </row>
    <row r="548">
      <c r="AM548" s="158"/>
      <c r="AN548" s="158"/>
      <c r="AO548" s="158"/>
    </row>
    <row r="549">
      <c r="AM549" s="158"/>
      <c r="AN549" s="158"/>
      <c r="AO549" s="158"/>
    </row>
    <row r="550">
      <c r="AM550" s="158"/>
      <c r="AN550" s="158"/>
      <c r="AO550" s="158"/>
    </row>
    <row r="551">
      <c r="AM551" s="158"/>
      <c r="AN551" s="158"/>
      <c r="AO551" s="158"/>
    </row>
    <row r="552">
      <c r="AM552" s="158"/>
      <c r="AN552" s="158"/>
      <c r="AO552" s="158"/>
    </row>
    <row r="553">
      <c r="AM553" s="158"/>
      <c r="AN553" s="158"/>
      <c r="AO553" s="158"/>
    </row>
    <row r="554">
      <c r="AM554" s="158"/>
      <c r="AN554" s="158"/>
      <c r="AO554" s="158"/>
    </row>
    <row r="555">
      <c r="AM555" s="158"/>
      <c r="AN555" s="158"/>
      <c r="AO555" s="158"/>
    </row>
    <row r="556">
      <c r="AM556" s="158"/>
      <c r="AN556" s="158"/>
      <c r="AO556" s="158"/>
    </row>
    <row r="557">
      <c r="AM557" s="158"/>
      <c r="AN557" s="158"/>
      <c r="AO557" s="158"/>
    </row>
    <row r="558">
      <c r="AM558" s="158"/>
      <c r="AN558" s="158"/>
      <c r="AO558" s="158"/>
    </row>
    <row r="559">
      <c r="AM559" s="158"/>
      <c r="AN559" s="158"/>
      <c r="AO559" s="158"/>
    </row>
    <row r="560">
      <c r="AM560" s="158"/>
      <c r="AN560" s="158"/>
      <c r="AO560" s="158"/>
    </row>
    <row r="561">
      <c r="AM561" s="158"/>
      <c r="AN561" s="158"/>
      <c r="AO561" s="158"/>
    </row>
    <row r="562">
      <c r="AM562" s="158"/>
      <c r="AN562" s="158"/>
      <c r="AO562" s="158"/>
    </row>
    <row r="563">
      <c r="AM563" s="158"/>
      <c r="AN563" s="158"/>
      <c r="AO563" s="158"/>
    </row>
    <row r="564">
      <c r="AM564" s="158"/>
      <c r="AN564" s="158"/>
      <c r="AO564" s="158"/>
    </row>
    <row r="565">
      <c r="AM565" s="158"/>
      <c r="AN565" s="158"/>
      <c r="AO565" s="158"/>
    </row>
    <row r="566">
      <c r="AM566" s="158"/>
      <c r="AN566" s="158"/>
      <c r="AO566" s="158"/>
    </row>
    <row r="567">
      <c r="AM567" s="158"/>
      <c r="AN567" s="158"/>
      <c r="AO567" s="158"/>
    </row>
    <row r="568">
      <c r="AM568" s="158"/>
      <c r="AN568" s="158"/>
      <c r="AO568" s="158"/>
    </row>
    <row r="569">
      <c r="AM569" s="158"/>
      <c r="AN569" s="158"/>
      <c r="AO569" s="158"/>
    </row>
    <row r="570">
      <c r="AM570" s="158"/>
      <c r="AN570" s="158"/>
      <c r="AO570" s="158"/>
    </row>
    <row r="571">
      <c r="AM571" s="158"/>
      <c r="AN571" s="158"/>
      <c r="AO571" s="158"/>
    </row>
    <row r="572">
      <c r="AM572" s="158"/>
      <c r="AN572" s="158"/>
      <c r="AO572" s="158"/>
    </row>
    <row r="573">
      <c r="AM573" s="158"/>
      <c r="AN573" s="158"/>
      <c r="AO573" s="158"/>
    </row>
    <row r="574">
      <c r="AM574" s="158"/>
      <c r="AN574" s="158"/>
      <c r="AO574" s="158"/>
    </row>
    <row r="575">
      <c r="AM575" s="158"/>
      <c r="AN575" s="158"/>
      <c r="AO575" s="158"/>
    </row>
    <row r="576">
      <c r="AM576" s="158"/>
      <c r="AN576" s="158"/>
      <c r="AO576" s="158"/>
    </row>
    <row r="577">
      <c r="AM577" s="158"/>
      <c r="AN577" s="158"/>
      <c r="AO577" s="158"/>
    </row>
    <row r="578">
      <c r="AM578" s="158"/>
      <c r="AN578" s="158"/>
      <c r="AO578" s="158"/>
    </row>
    <row r="579">
      <c r="AM579" s="158"/>
      <c r="AN579" s="158"/>
      <c r="AO579" s="158"/>
    </row>
    <row r="580">
      <c r="AM580" s="158"/>
      <c r="AN580" s="158"/>
      <c r="AO580" s="158"/>
    </row>
    <row r="581">
      <c r="AM581" s="158"/>
      <c r="AN581" s="158"/>
      <c r="AO581" s="158"/>
    </row>
    <row r="582">
      <c r="AM582" s="158"/>
      <c r="AN582" s="158"/>
      <c r="AO582" s="158"/>
    </row>
    <row r="583">
      <c r="AM583" s="158"/>
      <c r="AN583" s="158"/>
      <c r="AO583" s="158"/>
    </row>
    <row r="584">
      <c r="AM584" s="158"/>
      <c r="AN584" s="158"/>
      <c r="AO584" s="158"/>
    </row>
    <row r="585">
      <c r="AM585" s="158"/>
      <c r="AN585" s="158"/>
      <c r="AO585" s="158"/>
    </row>
    <row r="586">
      <c r="AM586" s="158"/>
      <c r="AN586" s="158"/>
      <c r="AO586" s="158"/>
    </row>
    <row r="587">
      <c r="AM587" s="158"/>
      <c r="AN587" s="158"/>
      <c r="AO587" s="158"/>
    </row>
    <row r="588">
      <c r="AM588" s="158"/>
      <c r="AN588" s="158"/>
      <c r="AO588" s="158"/>
    </row>
    <row r="589">
      <c r="AM589" s="158"/>
      <c r="AN589" s="158"/>
      <c r="AO589" s="158"/>
    </row>
    <row r="590">
      <c r="AM590" s="158"/>
      <c r="AN590" s="158"/>
      <c r="AO590" s="158"/>
    </row>
    <row r="591">
      <c r="AM591" s="158"/>
      <c r="AN591" s="158"/>
      <c r="AO591" s="158"/>
    </row>
    <row r="592">
      <c r="AM592" s="158"/>
      <c r="AN592" s="158"/>
      <c r="AO592" s="158"/>
    </row>
    <row r="593">
      <c r="AM593" s="158"/>
      <c r="AN593" s="158"/>
      <c r="AO593" s="158"/>
    </row>
    <row r="594">
      <c r="AM594" s="158"/>
      <c r="AN594" s="158"/>
      <c r="AO594" s="158"/>
    </row>
    <row r="595">
      <c r="AM595" s="158"/>
      <c r="AN595" s="158"/>
      <c r="AO595" s="158"/>
    </row>
    <row r="596">
      <c r="AM596" s="158"/>
      <c r="AN596" s="158"/>
      <c r="AO596" s="158"/>
    </row>
    <row r="597">
      <c r="AM597" s="158"/>
      <c r="AN597" s="158"/>
      <c r="AO597" s="158"/>
    </row>
    <row r="598">
      <c r="AM598" s="158"/>
      <c r="AN598" s="158"/>
      <c r="AO598" s="158"/>
    </row>
    <row r="599">
      <c r="AM599" s="158"/>
      <c r="AN599" s="158"/>
      <c r="AO599" s="158"/>
    </row>
    <row r="600">
      <c r="AM600" s="158"/>
      <c r="AN600" s="158"/>
      <c r="AO600" s="158"/>
    </row>
    <row r="601">
      <c r="AM601" s="158"/>
      <c r="AN601" s="158"/>
      <c r="AO601" s="158"/>
    </row>
    <row r="602">
      <c r="AM602" s="158"/>
      <c r="AN602" s="158"/>
      <c r="AO602" s="158"/>
    </row>
    <row r="603">
      <c r="AM603" s="158"/>
      <c r="AN603" s="158"/>
      <c r="AO603" s="158"/>
    </row>
    <row r="604">
      <c r="AM604" s="158"/>
      <c r="AN604" s="158"/>
      <c r="AO604" s="158"/>
    </row>
    <row r="605">
      <c r="AM605" s="158"/>
      <c r="AN605" s="158"/>
      <c r="AO605" s="158"/>
    </row>
    <row r="606">
      <c r="AM606" s="158"/>
      <c r="AN606" s="158"/>
      <c r="AO606" s="158"/>
    </row>
    <row r="607">
      <c r="AM607" s="158"/>
      <c r="AN607" s="158"/>
      <c r="AO607" s="158"/>
    </row>
    <row r="608">
      <c r="AM608" s="158"/>
      <c r="AN608" s="158"/>
      <c r="AO608" s="158"/>
    </row>
    <row r="609">
      <c r="AM609" s="158"/>
      <c r="AN609" s="158"/>
      <c r="AO609" s="158"/>
    </row>
    <row r="610">
      <c r="AM610" s="158"/>
      <c r="AN610" s="158"/>
      <c r="AO610" s="158"/>
    </row>
    <row r="611">
      <c r="AM611" s="158"/>
      <c r="AN611" s="158"/>
      <c r="AO611" s="158"/>
    </row>
    <row r="612">
      <c r="AM612" s="158"/>
      <c r="AN612" s="158"/>
      <c r="AO612" s="158"/>
    </row>
    <row r="613">
      <c r="AM613" s="158"/>
      <c r="AN613" s="158"/>
      <c r="AO613" s="158"/>
    </row>
    <row r="614">
      <c r="AM614" s="158"/>
      <c r="AN614" s="158"/>
      <c r="AO614" s="158"/>
    </row>
    <row r="615">
      <c r="AM615" s="158"/>
      <c r="AN615" s="158"/>
      <c r="AO615" s="158"/>
    </row>
    <row r="616">
      <c r="AM616" s="158"/>
      <c r="AN616" s="158"/>
      <c r="AO616" s="158"/>
    </row>
    <row r="617">
      <c r="AM617" s="158"/>
      <c r="AN617" s="158"/>
      <c r="AO617" s="158"/>
    </row>
    <row r="618">
      <c r="AM618" s="158"/>
      <c r="AN618" s="158"/>
      <c r="AO618" s="158"/>
    </row>
    <row r="619">
      <c r="AM619" s="158"/>
      <c r="AN619" s="158"/>
      <c r="AO619" s="158"/>
    </row>
    <row r="620">
      <c r="AM620" s="158"/>
      <c r="AN620" s="158"/>
      <c r="AO620" s="158"/>
    </row>
    <row r="621">
      <c r="AM621" s="158"/>
      <c r="AN621" s="158"/>
      <c r="AO621" s="158"/>
    </row>
    <row r="622">
      <c r="AM622" s="158"/>
      <c r="AN622" s="158"/>
      <c r="AO622" s="158"/>
    </row>
    <row r="623">
      <c r="AM623" s="158"/>
      <c r="AN623" s="158"/>
      <c r="AO623" s="158"/>
    </row>
    <row r="624">
      <c r="AM624" s="158"/>
      <c r="AN624" s="158"/>
      <c r="AO624" s="158"/>
    </row>
    <row r="625">
      <c r="AM625" s="158"/>
      <c r="AN625" s="158"/>
      <c r="AO625" s="158"/>
    </row>
    <row r="626">
      <c r="AM626" s="158"/>
      <c r="AN626" s="158"/>
      <c r="AO626" s="158"/>
    </row>
    <row r="627">
      <c r="AM627" s="158"/>
      <c r="AN627" s="158"/>
      <c r="AO627" s="158"/>
    </row>
    <row r="628">
      <c r="AM628" s="158"/>
      <c r="AN628" s="158"/>
      <c r="AO628" s="158"/>
    </row>
    <row r="629">
      <c r="AM629" s="158"/>
      <c r="AN629" s="158"/>
      <c r="AO629" s="158"/>
    </row>
    <row r="630">
      <c r="AM630" s="158"/>
      <c r="AN630" s="158"/>
      <c r="AO630" s="158"/>
    </row>
    <row r="631">
      <c r="AM631" s="158"/>
      <c r="AN631" s="158"/>
      <c r="AO631" s="158"/>
    </row>
    <row r="632">
      <c r="AM632" s="158"/>
      <c r="AN632" s="158"/>
      <c r="AO632" s="158"/>
    </row>
    <row r="633">
      <c r="AM633" s="158"/>
      <c r="AN633" s="158"/>
      <c r="AO633" s="158"/>
    </row>
    <row r="634">
      <c r="AM634" s="158"/>
      <c r="AN634" s="158"/>
      <c r="AO634" s="158"/>
    </row>
    <row r="635">
      <c r="AM635" s="158"/>
      <c r="AN635" s="158"/>
      <c r="AO635" s="158"/>
    </row>
    <row r="636">
      <c r="AM636" s="158"/>
      <c r="AN636" s="158"/>
      <c r="AO636" s="158"/>
    </row>
    <row r="637">
      <c r="AM637" s="158"/>
      <c r="AN637" s="158"/>
      <c r="AO637" s="158"/>
    </row>
    <row r="638">
      <c r="AM638" s="158"/>
      <c r="AN638" s="158"/>
      <c r="AO638" s="158"/>
    </row>
    <row r="639">
      <c r="AM639" s="158"/>
      <c r="AN639" s="158"/>
      <c r="AO639" s="158"/>
    </row>
    <row r="640">
      <c r="AM640" s="158"/>
      <c r="AN640" s="158"/>
      <c r="AO640" s="158"/>
    </row>
    <row r="641">
      <c r="AM641" s="158"/>
      <c r="AN641" s="158"/>
      <c r="AO641" s="158"/>
    </row>
    <row r="642">
      <c r="AM642" s="158"/>
      <c r="AN642" s="158"/>
      <c r="AO642" s="158"/>
    </row>
    <row r="643">
      <c r="AM643" s="158"/>
      <c r="AN643" s="158"/>
      <c r="AO643" s="158"/>
    </row>
    <row r="644">
      <c r="AM644" s="158"/>
      <c r="AN644" s="158"/>
      <c r="AO644" s="158"/>
    </row>
    <row r="645">
      <c r="AM645" s="158"/>
      <c r="AN645" s="158"/>
      <c r="AO645" s="158"/>
    </row>
    <row r="646">
      <c r="AM646" s="158"/>
      <c r="AN646" s="158"/>
      <c r="AO646" s="158"/>
    </row>
    <row r="647">
      <c r="AM647" s="158"/>
      <c r="AN647" s="158"/>
      <c r="AO647" s="158"/>
    </row>
    <row r="648">
      <c r="AM648" s="158"/>
      <c r="AN648" s="158"/>
      <c r="AO648" s="158"/>
    </row>
    <row r="649">
      <c r="AM649" s="158"/>
      <c r="AN649" s="158"/>
      <c r="AO649" s="158"/>
    </row>
    <row r="650">
      <c r="AM650" s="158"/>
      <c r="AN650" s="158"/>
      <c r="AO650" s="158"/>
    </row>
    <row r="651">
      <c r="AM651" s="158"/>
      <c r="AN651" s="158"/>
      <c r="AO651" s="158"/>
    </row>
    <row r="652">
      <c r="AM652" s="158"/>
      <c r="AN652" s="158"/>
      <c r="AO652" s="158"/>
    </row>
    <row r="653">
      <c r="AM653" s="158"/>
      <c r="AN653" s="158"/>
      <c r="AO653" s="158"/>
    </row>
    <row r="654">
      <c r="AM654" s="158"/>
      <c r="AN654" s="158"/>
      <c r="AO654" s="158"/>
    </row>
    <row r="655">
      <c r="AM655" s="158"/>
      <c r="AN655" s="158"/>
      <c r="AO655" s="158"/>
    </row>
    <row r="656">
      <c r="AM656" s="158"/>
      <c r="AN656" s="158"/>
      <c r="AO656" s="158"/>
    </row>
    <row r="657">
      <c r="AM657" s="158"/>
      <c r="AN657" s="158"/>
      <c r="AO657" s="158"/>
    </row>
    <row r="658">
      <c r="AM658" s="158"/>
      <c r="AN658" s="158"/>
      <c r="AO658" s="158"/>
    </row>
    <row r="659">
      <c r="AM659" s="158"/>
      <c r="AN659" s="158"/>
      <c r="AO659" s="158"/>
    </row>
    <row r="660">
      <c r="AM660" s="158"/>
      <c r="AN660" s="158"/>
      <c r="AO660" s="158"/>
    </row>
    <row r="661">
      <c r="AM661" s="158"/>
      <c r="AN661" s="158"/>
      <c r="AO661" s="158"/>
    </row>
    <row r="662">
      <c r="AM662" s="158"/>
      <c r="AN662" s="158"/>
      <c r="AO662" s="158"/>
    </row>
    <row r="663">
      <c r="AM663" s="158"/>
      <c r="AN663" s="158"/>
      <c r="AO663" s="158"/>
    </row>
    <row r="664">
      <c r="AM664" s="158"/>
      <c r="AN664" s="158"/>
      <c r="AO664" s="158"/>
    </row>
    <row r="665">
      <c r="AM665" s="158"/>
      <c r="AN665" s="158"/>
      <c r="AO665" s="158"/>
    </row>
    <row r="666">
      <c r="AM666" s="158"/>
      <c r="AN666" s="158"/>
      <c r="AO666" s="158"/>
    </row>
    <row r="667">
      <c r="AM667" s="158"/>
      <c r="AN667" s="158"/>
      <c r="AO667" s="158"/>
    </row>
    <row r="668">
      <c r="AM668" s="158"/>
      <c r="AN668" s="158"/>
      <c r="AO668" s="158"/>
    </row>
    <row r="669">
      <c r="AM669" s="158"/>
      <c r="AN669" s="158"/>
      <c r="AO669" s="158"/>
    </row>
    <row r="670">
      <c r="AM670" s="158"/>
      <c r="AN670" s="158"/>
      <c r="AO670" s="158"/>
    </row>
    <row r="671">
      <c r="AM671" s="158"/>
      <c r="AN671" s="158"/>
      <c r="AO671" s="158"/>
    </row>
    <row r="672">
      <c r="AM672" s="158"/>
      <c r="AN672" s="158"/>
      <c r="AO672" s="158"/>
    </row>
    <row r="673">
      <c r="AM673" s="158"/>
      <c r="AN673" s="158"/>
      <c r="AO673" s="158"/>
    </row>
    <row r="674">
      <c r="AM674" s="158"/>
      <c r="AN674" s="158"/>
      <c r="AO674" s="158"/>
    </row>
    <row r="675">
      <c r="AM675" s="158"/>
      <c r="AN675" s="158"/>
      <c r="AO675" s="158"/>
    </row>
    <row r="676">
      <c r="AM676" s="158"/>
      <c r="AN676" s="158"/>
      <c r="AO676" s="158"/>
    </row>
    <row r="677">
      <c r="AM677" s="158"/>
      <c r="AN677" s="158"/>
      <c r="AO677" s="158"/>
    </row>
    <row r="678">
      <c r="AM678" s="158"/>
      <c r="AN678" s="158"/>
      <c r="AO678" s="158"/>
    </row>
    <row r="679">
      <c r="AM679" s="158"/>
      <c r="AN679" s="158"/>
      <c r="AO679" s="158"/>
    </row>
    <row r="680">
      <c r="AM680" s="158"/>
      <c r="AN680" s="158"/>
      <c r="AO680" s="158"/>
    </row>
    <row r="681">
      <c r="AM681" s="158"/>
      <c r="AN681" s="158"/>
      <c r="AO681" s="158"/>
    </row>
    <row r="682">
      <c r="AM682" s="158"/>
      <c r="AN682" s="158"/>
      <c r="AO682" s="158"/>
    </row>
    <row r="683">
      <c r="AM683" s="158"/>
      <c r="AN683" s="158"/>
      <c r="AO683" s="158"/>
    </row>
    <row r="684">
      <c r="AM684" s="158"/>
      <c r="AN684" s="158"/>
      <c r="AO684" s="158"/>
    </row>
    <row r="685">
      <c r="AM685" s="158"/>
      <c r="AN685" s="158"/>
      <c r="AO685" s="158"/>
    </row>
    <row r="686">
      <c r="AM686" s="158"/>
      <c r="AN686" s="158"/>
      <c r="AO686" s="158"/>
    </row>
    <row r="687">
      <c r="AM687" s="158"/>
      <c r="AN687" s="158"/>
      <c r="AO687" s="158"/>
    </row>
    <row r="688">
      <c r="AM688" s="158"/>
      <c r="AN688" s="158"/>
      <c r="AO688" s="158"/>
    </row>
    <row r="689">
      <c r="AM689" s="158"/>
      <c r="AN689" s="158"/>
      <c r="AO689" s="158"/>
    </row>
    <row r="690">
      <c r="AM690" s="158"/>
      <c r="AN690" s="158"/>
      <c r="AO690" s="158"/>
    </row>
    <row r="691">
      <c r="AM691" s="158"/>
      <c r="AN691" s="158"/>
      <c r="AO691" s="158"/>
    </row>
    <row r="692">
      <c r="AM692" s="158"/>
      <c r="AN692" s="158"/>
      <c r="AO692" s="158"/>
    </row>
    <row r="693">
      <c r="AM693" s="158"/>
      <c r="AN693" s="158"/>
      <c r="AO693" s="158"/>
    </row>
    <row r="694">
      <c r="AM694" s="158"/>
      <c r="AN694" s="158"/>
      <c r="AO694" s="158"/>
    </row>
    <row r="695">
      <c r="AM695" s="158"/>
      <c r="AN695" s="158"/>
      <c r="AO695" s="158"/>
    </row>
    <row r="696">
      <c r="AM696" s="158"/>
      <c r="AN696" s="158"/>
      <c r="AO696" s="158"/>
    </row>
    <row r="697">
      <c r="AM697" s="158"/>
      <c r="AN697" s="158"/>
      <c r="AO697" s="158"/>
    </row>
    <row r="698">
      <c r="AM698" s="158"/>
      <c r="AN698" s="158"/>
      <c r="AO698" s="158"/>
    </row>
    <row r="699">
      <c r="AM699" s="158"/>
      <c r="AN699" s="158"/>
      <c r="AO699" s="158"/>
    </row>
    <row r="700">
      <c r="AM700" s="158"/>
      <c r="AN700" s="158"/>
      <c r="AO700" s="158"/>
    </row>
    <row r="701">
      <c r="AM701" s="158"/>
      <c r="AN701" s="158"/>
      <c r="AO701" s="158"/>
    </row>
    <row r="702">
      <c r="AM702" s="158"/>
      <c r="AN702" s="158"/>
      <c r="AO702" s="158"/>
    </row>
    <row r="703">
      <c r="AM703" s="158"/>
      <c r="AN703" s="158"/>
      <c r="AO703" s="158"/>
    </row>
    <row r="704">
      <c r="AM704" s="158"/>
      <c r="AN704" s="158"/>
      <c r="AO704" s="158"/>
    </row>
    <row r="705">
      <c r="AM705" s="158"/>
      <c r="AN705" s="158"/>
      <c r="AO705" s="158"/>
    </row>
    <row r="706">
      <c r="AM706" s="158"/>
      <c r="AN706" s="158"/>
      <c r="AO706" s="158"/>
    </row>
    <row r="707">
      <c r="AM707" s="158"/>
      <c r="AN707" s="158"/>
      <c r="AO707" s="158"/>
    </row>
    <row r="708">
      <c r="AM708" s="158"/>
      <c r="AN708" s="158"/>
      <c r="AO708" s="158"/>
    </row>
    <row r="709">
      <c r="AM709" s="158"/>
      <c r="AN709" s="158"/>
      <c r="AO709" s="158"/>
    </row>
    <row r="710">
      <c r="AM710" s="158"/>
      <c r="AN710" s="158"/>
      <c r="AO710" s="158"/>
    </row>
    <row r="711">
      <c r="AM711" s="158"/>
      <c r="AN711" s="158"/>
      <c r="AO711" s="158"/>
    </row>
    <row r="712">
      <c r="AM712" s="158"/>
      <c r="AN712" s="158"/>
      <c r="AO712" s="158"/>
    </row>
    <row r="713">
      <c r="AM713" s="158"/>
      <c r="AN713" s="158"/>
      <c r="AO713" s="158"/>
    </row>
    <row r="714">
      <c r="AM714" s="158"/>
      <c r="AN714" s="158"/>
      <c r="AO714" s="158"/>
    </row>
    <row r="715">
      <c r="AM715" s="158"/>
      <c r="AN715" s="158"/>
      <c r="AO715" s="158"/>
    </row>
    <row r="716">
      <c r="AM716" s="158"/>
      <c r="AN716" s="158"/>
      <c r="AO716" s="158"/>
    </row>
    <row r="717">
      <c r="AM717" s="158"/>
      <c r="AN717" s="158"/>
      <c r="AO717" s="158"/>
    </row>
    <row r="718">
      <c r="AM718" s="158"/>
      <c r="AN718" s="158"/>
      <c r="AO718" s="158"/>
    </row>
    <row r="719">
      <c r="AM719" s="158"/>
      <c r="AN719" s="158"/>
      <c r="AO719" s="158"/>
    </row>
    <row r="720">
      <c r="AM720" s="158"/>
      <c r="AN720" s="158"/>
      <c r="AO720" s="158"/>
    </row>
    <row r="721">
      <c r="AM721" s="158"/>
      <c r="AN721" s="158"/>
      <c r="AO721" s="158"/>
    </row>
    <row r="722">
      <c r="AM722" s="158"/>
      <c r="AN722" s="158"/>
      <c r="AO722" s="158"/>
    </row>
    <row r="723">
      <c r="AM723" s="158"/>
      <c r="AN723" s="158"/>
      <c r="AO723" s="158"/>
    </row>
    <row r="724">
      <c r="AM724" s="158"/>
      <c r="AN724" s="158"/>
      <c r="AO724" s="158"/>
    </row>
    <row r="725">
      <c r="AM725" s="158"/>
      <c r="AN725" s="158"/>
      <c r="AO725" s="158"/>
    </row>
    <row r="726">
      <c r="AM726" s="158"/>
      <c r="AN726" s="158"/>
      <c r="AO726" s="158"/>
    </row>
    <row r="727">
      <c r="AM727" s="158"/>
      <c r="AN727" s="158"/>
      <c r="AO727" s="158"/>
    </row>
    <row r="728">
      <c r="AM728" s="158"/>
      <c r="AN728" s="158"/>
      <c r="AO728" s="158"/>
    </row>
    <row r="729">
      <c r="AM729" s="158"/>
      <c r="AN729" s="158"/>
      <c r="AO729" s="158"/>
    </row>
    <row r="730">
      <c r="AM730" s="158"/>
      <c r="AN730" s="158"/>
      <c r="AO730" s="158"/>
    </row>
    <row r="731">
      <c r="AM731" s="158"/>
      <c r="AN731" s="158"/>
      <c r="AO731" s="158"/>
    </row>
    <row r="732">
      <c r="AM732" s="158"/>
      <c r="AN732" s="158"/>
      <c r="AO732" s="158"/>
    </row>
    <row r="733">
      <c r="AM733" s="158"/>
      <c r="AN733" s="158"/>
      <c r="AO733" s="158"/>
    </row>
    <row r="734">
      <c r="AM734" s="158"/>
      <c r="AN734" s="158"/>
      <c r="AO734" s="158"/>
    </row>
    <row r="735">
      <c r="AM735" s="158"/>
      <c r="AN735" s="158"/>
      <c r="AO735" s="158"/>
    </row>
    <row r="736">
      <c r="AM736" s="158"/>
      <c r="AN736" s="158"/>
      <c r="AO736" s="158"/>
    </row>
    <row r="737">
      <c r="AM737" s="158"/>
      <c r="AN737" s="158"/>
      <c r="AO737" s="158"/>
    </row>
    <row r="738">
      <c r="AM738" s="158"/>
      <c r="AN738" s="158"/>
      <c r="AO738" s="158"/>
    </row>
    <row r="739">
      <c r="AM739" s="158"/>
      <c r="AN739" s="158"/>
      <c r="AO739" s="158"/>
    </row>
    <row r="740">
      <c r="AM740" s="158"/>
      <c r="AN740" s="158"/>
      <c r="AO740" s="158"/>
    </row>
    <row r="741">
      <c r="AM741" s="158"/>
      <c r="AN741" s="158"/>
      <c r="AO741" s="158"/>
    </row>
    <row r="742">
      <c r="AM742" s="158"/>
      <c r="AN742" s="158"/>
      <c r="AO742" s="158"/>
    </row>
    <row r="743">
      <c r="AM743" s="158"/>
      <c r="AN743" s="158"/>
      <c r="AO743" s="158"/>
    </row>
    <row r="744">
      <c r="AM744" s="158"/>
      <c r="AN744" s="158"/>
      <c r="AO744" s="158"/>
    </row>
    <row r="745">
      <c r="AM745" s="158"/>
      <c r="AN745" s="158"/>
      <c r="AO745" s="158"/>
    </row>
    <row r="746">
      <c r="AM746" s="158"/>
      <c r="AN746" s="158"/>
      <c r="AO746" s="158"/>
    </row>
    <row r="747">
      <c r="AM747" s="158"/>
      <c r="AN747" s="158"/>
      <c r="AO747" s="158"/>
    </row>
    <row r="748">
      <c r="AM748" s="158"/>
      <c r="AN748" s="158"/>
      <c r="AO748" s="158"/>
    </row>
    <row r="749">
      <c r="AM749" s="158"/>
      <c r="AN749" s="158"/>
      <c r="AO749" s="158"/>
    </row>
    <row r="750">
      <c r="AM750" s="158"/>
      <c r="AN750" s="158"/>
      <c r="AO750" s="158"/>
    </row>
    <row r="751">
      <c r="AM751" s="158"/>
      <c r="AN751" s="158"/>
      <c r="AO751" s="158"/>
    </row>
    <row r="752">
      <c r="AM752" s="158"/>
      <c r="AN752" s="158"/>
      <c r="AO752" s="158"/>
    </row>
    <row r="753">
      <c r="AM753" s="158"/>
      <c r="AN753" s="158"/>
      <c r="AO753" s="158"/>
    </row>
    <row r="754">
      <c r="AM754" s="158"/>
      <c r="AN754" s="158"/>
      <c r="AO754" s="158"/>
    </row>
    <row r="755">
      <c r="AM755" s="158"/>
      <c r="AN755" s="158"/>
      <c r="AO755" s="158"/>
    </row>
    <row r="756">
      <c r="AM756" s="158"/>
      <c r="AN756" s="158"/>
      <c r="AO756" s="158"/>
    </row>
    <row r="757">
      <c r="AM757" s="158"/>
      <c r="AN757" s="158"/>
      <c r="AO757" s="158"/>
    </row>
    <row r="758">
      <c r="AM758" s="158"/>
      <c r="AN758" s="158"/>
      <c r="AO758" s="158"/>
    </row>
    <row r="759">
      <c r="AM759" s="158"/>
      <c r="AN759" s="158"/>
      <c r="AO759" s="158"/>
    </row>
    <row r="760">
      <c r="AM760" s="158"/>
      <c r="AN760" s="158"/>
      <c r="AO760" s="158"/>
    </row>
    <row r="761">
      <c r="AM761" s="158"/>
      <c r="AN761" s="158"/>
      <c r="AO761" s="158"/>
    </row>
    <row r="762">
      <c r="AM762" s="158"/>
      <c r="AN762" s="158"/>
      <c r="AO762" s="158"/>
    </row>
    <row r="763">
      <c r="AM763" s="158"/>
      <c r="AN763" s="158"/>
      <c r="AO763" s="158"/>
    </row>
    <row r="764">
      <c r="AM764" s="158"/>
      <c r="AN764" s="158"/>
      <c r="AO764" s="158"/>
    </row>
    <row r="765">
      <c r="AM765" s="158"/>
      <c r="AN765" s="158"/>
      <c r="AO765" s="158"/>
    </row>
    <row r="766">
      <c r="AM766" s="158"/>
      <c r="AN766" s="158"/>
      <c r="AO766" s="158"/>
    </row>
    <row r="767">
      <c r="AM767" s="158"/>
      <c r="AN767" s="158"/>
      <c r="AO767" s="158"/>
    </row>
    <row r="768">
      <c r="AM768" s="158"/>
      <c r="AN768" s="158"/>
      <c r="AO768" s="158"/>
    </row>
    <row r="769">
      <c r="AM769" s="158"/>
      <c r="AN769" s="158"/>
      <c r="AO769" s="158"/>
    </row>
    <row r="770">
      <c r="AM770" s="158"/>
      <c r="AN770" s="158"/>
      <c r="AO770" s="158"/>
    </row>
    <row r="771">
      <c r="AM771" s="158"/>
      <c r="AN771" s="158"/>
      <c r="AO771" s="158"/>
    </row>
    <row r="772">
      <c r="AM772" s="158"/>
      <c r="AN772" s="158"/>
      <c r="AO772" s="158"/>
    </row>
    <row r="773">
      <c r="AM773" s="158"/>
      <c r="AN773" s="158"/>
      <c r="AO773" s="158"/>
    </row>
    <row r="774">
      <c r="AM774" s="158"/>
      <c r="AN774" s="158"/>
      <c r="AO774" s="158"/>
    </row>
    <row r="775">
      <c r="AM775" s="158"/>
      <c r="AN775" s="158"/>
      <c r="AO775" s="158"/>
    </row>
    <row r="776">
      <c r="AM776" s="158"/>
      <c r="AN776" s="158"/>
      <c r="AO776" s="158"/>
    </row>
    <row r="777">
      <c r="AM777" s="158"/>
      <c r="AN777" s="158"/>
      <c r="AO777" s="158"/>
    </row>
    <row r="778">
      <c r="AM778" s="158"/>
      <c r="AN778" s="158"/>
      <c r="AO778" s="158"/>
    </row>
    <row r="779">
      <c r="AM779" s="158"/>
      <c r="AN779" s="158"/>
      <c r="AO779" s="158"/>
    </row>
    <row r="780">
      <c r="AM780" s="158"/>
      <c r="AN780" s="158"/>
      <c r="AO780" s="158"/>
    </row>
    <row r="781">
      <c r="AM781" s="158"/>
      <c r="AN781" s="158"/>
      <c r="AO781" s="158"/>
    </row>
    <row r="782">
      <c r="AM782" s="158"/>
      <c r="AN782" s="158"/>
      <c r="AO782" s="158"/>
    </row>
    <row r="783">
      <c r="AM783" s="158"/>
      <c r="AN783" s="158"/>
      <c r="AO783" s="158"/>
    </row>
    <row r="784">
      <c r="AM784" s="158"/>
      <c r="AN784" s="158"/>
      <c r="AO784" s="158"/>
    </row>
    <row r="785">
      <c r="AM785" s="158"/>
      <c r="AN785" s="158"/>
      <c r="AO785" s="158"/>
    </row>
    <row r="786">
      <c r="AM786" s="158"/>
      <c r="AN786" s="158"/>
      <c r="AO786" s="158"/>
    </row>
    <row r="787">
      <c r="AM787" s="158"/>
      <c r="AN787" s="158"/>
      <c r="AO787" s="158"/>
    </row>
    <row r="788">
      <c r="AM788" s="158"/>
      <c r="AN788" s="158"/>
      <c r="AO788" s="158"/>
    </row>
    <row r="789">
      <c r="AM789" s="158"/>
      <c r="AN789" s="158"/>
      <c r="AO789" s="158"/>
    </row>
    <row r="790">
      <c r="AM790" s="158"/>
      <c r="AN790" s="158"/>
      <c r="AO790" s="158"/>
    </row>
    <row r="791">
      <c r="AM791" s="158"/>
      <c r="AN791" s="158"/>
      <c r="AO791" s="158"/>
    </row>
    <row r="792">
      <c r="AM792" s="158"/>
      <c r="AN792" s="158"/>
      <c r="AO792" s="158"/>
    </row>
    <row r="793">
      <c r="AM793" s="158"/>
      <c r="AN793" s="158"/>
      <c r="AO793" s="158"/>
    </row>
    <row r="794">
      <c r="AM794" s="158"/>
      <c r="AN794" s="158"/>
      <c r="AO794" s="158"/>
    </row>
    <row r="795">
      <c r="AM795" s="158"/>
      <c r="AN795" s="158"/>
      <c r="AO795" s="158"/>
    </row>
    <row r="796">
      <c r="AM796" s="158"/>
      <c r="AN796" s="158"/>
      <c r="AO796" s="158"/>
    </row>
    <row r="797">
      <c r="AM797" s="158"/>
      <c r="AN797" s="158"/>
      <c r="AO797" s="158"/>
    </row>
    <row r="798">
      <c r="AM798" s="158"/>
      <c r="AN798" s="158"/>
      <c r="AO798" s="158"/>
    </row>
    <row r="799">
      <c r="AM799" s="158"/>
      <c r="AN799" s="158"/>
      <c r="AO799" s="158"/>
    </row>
    <row r="800">
      <c r="AM800" s="158"/>
      <c r="AN800" s="158"/>
      <c r="AO800" s="158"/>
    </row>
    <row r="801">
      <c r="AM801" s="158"/>
      <c r="AN801" s="158"/>
      <c r="AO801" s="158"/>
    </row>
    <row r="802">
      <c r="AM802" s="158"/>
      <c r="AN802" s="158"/>
      <c r="AO802" s="158"/>
    </row>
    <row r="803">
      <c r="AM803" s="158"/>
      <c r="AN803" s="158"/>
      <c r="AO803" s="158"/>
    </row>
    <row r="804">
      <c r="AM804" s="158"/>
      <c r="AN804" s="158"/>
      <c r="AO804" s="158"/>
    </row>
    <row r="805">
      <c r="AM805" s="158"/>
      <c r="AN805" s="158"/>
      <c r="AO805" s="158"/>
    </row>
    <row r="806">
      <c r="AM806" s="158"/>
      <c r="AN806" s="158"/>
      <c r="AO806" s="158"/>
    </row>
    <row r="807">
      <c r="AM807" s="158"/>
      <c r="AN807" s="158"/>
      <c r="AO807" s="158"/>
    </row>
    <row r="808">
      <c r="AM808" s="158"/>
      <c r="AN808" s="158"/>
      <c r="AO808" s="158"/>
    </row>
    <row r="809">
      <c r="AM809" s="158"/>
      <c r="AN809" s="158"/>
      <c r="AO809" s="158"/>
    </row>
    <row r="810">
      <c r="AM810" s="158"/>
      <c r="AN810" s="158"/>
      <c r="AO810" s="158"/>
    </row>
    <row r="811">
      <c r="AM811" s="158"/>
      <c r="AN811" s="158"/>
      <c r="AO811" s="158"/>
    </row>
    <row r="812">
      <c r="AM812" s="158"/>
      <c r="AN812" s="158"/>
      <c r="AO812" s="158"/>
    </row>
    <row r="813">
      <c r="AM813" s="158"/>
      <c r="AN813" s="158"/>
      <c r="AO813" s="158"/>
    </row>
    <row r="814">
      <c r="AM814" s="158"/>
      <c r="AN814" s="158"/>
      <c r="AO814" s="158"/>
    </row>
    <row r="815">
      <c r="AM815" s="158"/>
      <c r="AN815" s="158"/>
      <c r="AO815" s="158"/>
    </row>
    <row r="816">
      <c r="AM816" s="158"/>
      <c r="AN816" s="158"/>
      <c r="AO816" s="158"/>
    </row>
    <row r="817">
      <c r="AM817" s="158"/>
      <c r="AN817" s="158"/>
      <c r="AO817" s="158"/>
    </row>
    <row r="818">
      <c r="AM818" s="158"/>
      <c r="AN818" s="158"/>
      <c r="AO818" s="158"/>
    </row>
    <row r="819">
      <c r="AM819" s="158"/>
      <c r="AN819" s="158"/>
      <c r="AO819" s="158"/>
    </row>
    <row r="820">
      <c r="AM820" s="158"/>
      <c r="AN820" s="158"/>
      <c r="AO820" s="158"/>
    </row>
    <row r="821">
      <c r="AM821" s="158"/>
      <c r="AN821" s="158"/>
      <c r="AO821" s="158"/>
    </row>
    <row r="822">
      <c r="AM822" s="158"/>
      <c r="AN822" s="158"/>
      <c r="AO822" s="158"/>
    </row>
    <row r="823">
      <c r="AM823" s="158"/>
      <c r="AN823" s="158"/>
      <c r="AO823" s="158"/>
    </row>
    <row r="824">
      <c r="AM824" s="158"/>
      <c r="AN824" s="158"/>
      <c r="AO824" s="158"/>
    </row>
    <row r="825">
      <c r="AM825" s="158"/>
      <c r="AN825" s="158"/>
      <c r="AO825" s="158"/>
    </row>
    <row r="826">
      <c r="AM826" s="158"/>
      <c r="AN826" s="158"/>
      <c r="AO826" s="158"/>
    </row>
    <row r="827">
      <c r="AM827" s="158"/>
      <c r="AN827" s="158"/>
      <c r="AO827" s="158"/>
    </row>
    <row r="828">
      <c r="AM828" s="158"/>
      <c r="AN828" s="158"/>
      <c r="AO828" s="158"/>
    </row>
    <row r="829">
      <c r="AM829" s="158"/>
      <c r="AN829" s="158"/>
      <c r="AO829" s="158"/>
    </row>
    <row r="830">
      <c r="AM830" s="158"/>
      <c r="AN830" s="158"/>
      <c r="AO830" s="158"/>
    </row>
    <row r="831">
      <c r="AM831" s="158"/>
      <c r="AN831" s="158"/>
      <c r="AO831" s="158"/>
    </row>
    <row r="832">
      <c r="AM832" s="158"/>
      <c r="AN832" s="158"/>
      <c r="AO832" s="158"/>
    </row>
    <row r="833">
      <c r="AM833" s="158"/>
      <c r="AN833" s="158"/>
      <c r="AO833" s="158"/>
    </row>
    <row r="834">
      <c r="AM834" s="158"/>
      <c r="AN834" s="158"/>
      <c r="AO834" s="158"/>
    </row>
    <row r="835">
      <c r="AM835" s="158"/>
      <c r="AN835" s="158"/>
      <c r="AO835" s="158"/>
    </row>
    <row r="836">
      <c r="AM836" s="158"/>
      <c r="AN836" s="158"/>
      <c r="AO836" s="158"/>
    </row>
    <row r="837">
      <c r="AM837" s="158"/>
      <c r="AN837" s="158"/>
      <c r="AO837" s="158"/>
    </row>
    <row r="838">
      <c r="AM838" s="158"/>
      <c r="AN838" s="158"/>
      <c r="AO838" s="158"/>
    </row>
    <row r="839">
      <c r="AM839" s="158"/>
      <c r="AN839" s="158"/>
      <c r="AO839" s="158"/>
    </row>
    <row r="840">
      <c r="AM840" s="158"/>
      <c r="AN840" s="158"/>
      <c r="AO840" s="158"/>
    </row>
    <row r="841">
      <c r="AM841" s="158"/>
      <c r="AN841" s="158"/>
      <c r="AO841" s="158"/>
    </row>
    <row r="842">
      <c r="AM842" s="158"/>
      <c r="AN842" s="158"/>
      <c r="AO842" s="158"/>
    </row>
    <row r="843">
      <c r="AM843" s="158"/>
      <c r="AN843" s="158"/>
      <c r="AO843" s="158"/>
    </row>
    <row r="844">
      <c r="AM844" s="158"/>
      <c r="AN844" s="158"/>
      <c r="AO844" s="158"/>
    </row>
    <row r="845">
      <c r="AM845" s="158"/>
      <c r="AN845" s="158"/>
      <c r="AO845" s="158"/>
    </row>
    <row r="846">
      <c r="AM846" s="158"/>
      <c r="AN846" s="158"/>
      <c r="AO846" s="158"/>
    </row>
    <row r="847">
      <c r="AM847" s="158"/>
      <c r="AN847" s="158"/>
      <c r="AO847" s="158"/>
    </row>
    <row r="848">
      <c r="AM848" s="158"/>
      <c r="AN848" s="158"/>
      <c r="AO848" s="158"/>
    </row>
    <row r="849">
      <c r="AM849" s="158"/>
      <c r="AN849" s="158"/>
      <c r="AO849" s="158"/>
    </row>
    <row r="850">
      <c r="AM850" s="158"/>
      <c r="AN850" s="158"/>
      <c r="AO850" s="158"/>
    </row>
    <row r="851">
      <c r="AM851" s="158"/>
      <c r="AN851" s="158"/>
      <c r="AO851" s="158"/>
    </row>
    <row r="852">
      <c r="AM852" s="158"/>
      <c r="AN852" s="158"/>
      <c r="AO852" s="158"/>
    </row>
    <row r="853">
      <c r="AM853" s="158"/>
      <c r="AN853" s="158"/>
      <c r="AO853" s="158"/>
    </row>
    <row r="854">
      <c r="AM854" s="158"/>
      <c r="AN854" s="158"/>
      <c r="AO854" s="158"/>
    </row>
    <row r="855">
      <c r="AM855" s="158"/>
      <c r="AN855" s="158"/>
      <c r="AO855" s="158"/>
    </row>
    <row r="856">
      <c r="AM856" s="158"/>
      <c r="AN856" s="158"/>
      <c r="AO856" s="158"/>
    </row>
    <row r="857">
      <c r="AM857" s="158"/>
      <c r="AN857" s="158"/>
      <c r="AO857" s="158"/>
    </row>
    <row r="858">
      <c r="AM858" s="158"/>
      <c r="AN858" s="158"/>
      <c r="AO858" s="158"/>
    </row>
    <row r="859">
      <c r="AM859" s="158"/>
      <c r="AN859" s="158"/>
      <c r="AO859" s="158"/>
    </row>
    <row r="860">
      <c r="AM860" s="158"/>
      <c r="AN860" s="158"/>
      <c r="AO860" s="158"/>
    </row>
    <row r="861">
      <c r="AM861" s="158"/>
      <c r="AN861" s="158"/>
      <c r="AO861" s="158"/>
    </row>
    <row r="862">
      <c r="AM862" s="158"/>
      <c r="AN862" s="158"/>
      <c r="AO862" s="158"/>
    </row>
    <row r="863">
      <c r="AM863" s="158"/>
      <c r="AN863" s="158"/>
      <c r="AO863" s="158"/>
    </row>
    <row r="864">
      <c r="AM864" s="158"/>
      <c r="AN864" s="158"/>
      <c r="AO864" s="158"/>
    </row>
    <row r="865">
      <c r="AM865" s="158"/>
      <c r="AN865" s="158"/>
      <c r="AO865" s="158"/>
    </row>
    <row r="866">
      <c r="AM866" s="158"/>
      <c r="AN866" s="158"/>
      <c r="AO866" s="158"/>
    </row>
    <row r="867">
      <c r="AM867" s="158"/>
      <c r="AN867" s="158"/>
      <c r="AO867" s="158"/>
    </row>
    <row r="868">
      <c r="AM868" s="158"/>
      <c r="AN868" s="158"/>
      <c r="AO868" s="158"/>
    </row>
    <row r="869">
      <c r="AM869" s="158"/>
      <c r="AN869" s="158"/>
      <c r="AO869" s="158"/>
    </row>
    <row r="870">
      <c r="AM870" s="158"/>
      <c r="AN870" s="158"/>
      <c r="AO870" s="158"/>
    </row>
    <row r="871">
      <c r="AM871" s="158"/>
      <c r="AN871" s="158"/>
      <c r="AO871" s="158"/>
    </row>
    <row r="872">
      <c r="AM872" s="158"/>
      <c r="AN872" s="158"/>
      <c r="AO872" s="158"/>
    </row>
    <row r="873">
      <c r="AM873" s="158"/>
      <c r="AN873" s="158"/>
      <c r="AO873" s="158"/>
    </row>
    <row r="874">
      <c r="AM874" s="158"/>
      <c r="AN874" s="158"/>
      <c r="AO874" s="158"/>
    </row>
    <row r="875">
      <c r="AM875" s="158"/>
      <c r="AN875" s="158"/>
      <c r="AO875" s="158"/>
    </row>
    <row r="876">
      <c r="AM876" s="158"/>
      <c r="AN876" s="158"/>
      <c r="AO876" s="158"/>
    </row>
    <row r="877">
      <c r="AM877" s="158"/>
      <c r="AN877" s="158"/>
      <c r="AO877" s="158"/>
    </row>
    <row r="878">
      <c r="AM878" s="158"/>
      <c r="AN878" s="158"/>
      <c r="AO878" s="158"/>
    </row>
    <row r="879">
      <c r="AM879" s="158"/>
      <c r="AN879" s="158"/>
      <c r="AO879" s="158"/>
    </row>
    <row r="880">
      <c r="AM880" s="158"/>
      <c r="AN880" s="158"/>
      <c r="AO880" s="158"/>
    </row>
    <row r="881">
      <c r="AM881" s="158"/>
      <c r="AN881" s="158"/>
      <c r="AO881" s="158"/>
    </row>
    <row r="882">
      <c r="AM882" s="158"/>
      <c r="AN882" s="158"/>
      <c r="AO882" s="158"/>
    </row>
    <row r="883">
      <c r="AM883" s="158"/>
      <c r="AN883" s="158"/>
      <c r="AO883" s="158"/>
    </row>
    <row r="884">
      <c r="AM884" s="158"/>
      <c r="AN884" s="158"/>
      <c r="AO884" s="158"/>
    </row>
    <row r="885">
      <c r="AM885" s="158"/>
      <c r="AN885" s="158"/>
      <c r="AO885" s="158"/>
    </row>
    <row r="886">
      <c r="AM886" s="158"/>
      <c r="AN886" s="158"/>
      <c r="AO886" s="158"/>
    </row>
    <row r="887">
      <c r="AM887" s="158"/>
      <c r="AN887" s="158"/>
      <c r="AO887" s="158"/>
    </row>
    <row r="888">
      <c r="AM888" s="158"/>
      <c r="AN888" s="158"/>
      <c r="AO888" s="158"/>
    </row>
    <row r="889">
      <c r="AM889" s="158"/>
      <c r="AN889" s="158"/>
      <c r="AO889" s="158"/>
    </row>
    <row r="890">
      <c r="AM890" s="158"/>
      <c r="AN890" s="158"/>
      <c r="AO890" s="158"/>
    </row>
    <row r="891">
      <c r="AM891" s="158"/>
      <c r="AN891" s="158"/>
      <c r="AO891" s="158"/>
    </row>
    <row r="892">
      <c r="AM892" s="158"/>
      <c r="AN892" s="158"/>
      <c r="AO892" s="158"/>
    </row>
    <row r="893">
      <c r="AM893" s="158"/>
      <c r="AN893" s="158"/>
      <c r="AO893" s="158"/>
    </row>
    <row r="894">
      <c r="AM894" s="158"/>
      <c r="AN894" s="158"/>
      <c r="AO894" s="158"/>
    </row>
    <row r="895">
      <c r="AM895" s="158"/>
      <c r="AN895" s="158"/>
      <c r="AO895" s="158"/>
    </row>
    <row r="896">
      <c r="AM896" s="158"/>
      <c r="AN896" s="158"/>
      <c r="AO896" s="158"/>
    </row>
    <row r="897">
      <c r="AM897" s="158"/>
      <c r="AN897" s="158"/>
      <c r="AO897" s="158"/>
    </row>
    <row r="898">
      <c r="AM898" s="158"/>
      <c r="AN898" s="158"/>
      <c r="AO898" s="158"/>
    </row>
    <row r="899">
      <c r="AM899" s="158"/>
      <c r="AN899" s="158"/>
      <c r="AO899" s="158"/>
    </row>
    <row r="900">
      <c r="AM900" s="158"/>
      <c r="AN900" s="158"/>
      <c r="AO900" s="158"/>
    </row>
    <row r="901">
      <c r="AM901" s="158"/>
      <c r="AN901" s="158"/>
      <c r="AO901" s="158"/>
    </row>
    <row r="902">
      <c r="AM902" s="158"/>
      <c r="AN902" s="158"/>
      <c r="AO902" s="158"/>
    </row>
    <row r="903">
      <c r="AM903" s="158"/>
      <c r="AN903" s="158"/>
      <c r="AO903" s="158"/>
    </row>
    <row r="904">
      <c r="AM904" s="158"/>
      <c r="AN904" s="158"/>
      <c r="AO904" s="158"/>
    </row>
    <row r="905">
      <c r="AM905" s="158"/>
      <c r="AN905" s="158"/>
      <c r="AO905" s="158"/>
    </row>
    <row r="906">
      <c r="AM906" s="158"/>
      <c r="AN906" s="158"/>
      <c r="AO906" s="158"/>
    </row>
    <row r="907">
      <c r="AM907" s="158"/>
      <c r="AN907" s="158"/>
      <c r="AO907" s="158"/>
    </row>
    <row r="908">
      <c r="AM908" s="158"/>
      <c r="AN908" s="158"/>
      <c r="AO908" s="158"/>
    </row>
    <row r="909">
      <c r="AM909" s="158"/>
      <c r="AN909" s="158"/>
      <c r="AO909" s="158"/>
    </row>
    <row r="910">
      <c r="AM910" s="158"/>
      <c r="AN910" s="158"/>
      <c r="AO910" s="158"/>
    </row>
    <row r="911">
      <c r="AM911" s="158"/>
      <c r="AN911" s="158"/>
      <c r="AO911" s="158"/>
    </row>
    <row r="912">
      <c r="AM912" s="158"/>
      <c r="AN912" s="158"/>
      <c r="AO912" s="158"/>
    </row>
    <row r="913">
      <c r="AM913" s="158"/>
      <c r="AN913" s="158"/>
      <c r="AO913" s="158"/>
    </row>
    <row r="914">
      <c r="AM914" s="158"/>
      <c r="AN914" s="158"/>
      <c r="AO914" s="158"/>
    </row>
    <row r="915">
      <c r="AM915" s="158"/>
      <c r="AN915" s="158"/>
      <c r="AO915" s="158"/>
    </row>
    <row r="916">
      <c r="AM916" s="158"/>
      <c r="AN916" s="158"/>
      <c r="AO916" s="158"/>
    </row>
    <row r="917">
      <c r="AM917" s="158"/>
      <c r="AN917" s="158"/>
      <c r="AO917" s="158"/>
    </row>
    <row r="918">
      <c r="AM918" s="158"/>
      <c r="AN918" s="158"/>
      <c r="AO918" s="158"/>
    </row>
    <row r="919">
      <c r="AM919" s="158"/>
      <c r="AN919" s="158"/>
      <c r="AO919" s="158"/>
    </row>
    <row r="920">
      <c r="AM920" s="158"/>
      <c r="AN920" s="158"/>
      <c r="AO920" s="158"/>
    </row>
    <row r="921">
      <c r="AM921" s="158"/>
      <c r="AN921" s="158"/>
      <c r="AO921" s="158"/>
    </row>
    <row r="922">
      <c r="AM922" s="158"/>
      <c r="AN922" s="158"/>
      <c r="AO922" s="158"/>
    </row>
    <row r="923">
      <c r="AM923" s="158"/>
      <c r="AN923" s="158"/>
      <c r="AO923" s="158"/>
    </row>
    <row r="924">
      <c r="AM924" s="158"/>
      <c r="AN924" s="158"/>
      <c r="AO924" s="158"/>
    </row>
    <row r="925">
      <c r="AM925" s="158"/>
      <c r="AN925" s="158"/>
      <c r="AO925" s="158"/>
    </row>
    <row r="926">
      <c r="AM926" s="158"/>
      <c r="AN926" s="158"/>
      <c r="AO926" s="158"/>
    </row>
    <row r="927">
      <c r="AM927" s="158"/>
      <c r="AN927" s="158"/>
      <c r="AO927" s="158"/>
    </row>
    <row r="928">
      <c r="AM928" s="158"/>
      <c r="AN928" s="158"/>
      <c r="AO928" s="158"/>
    </row>
    <row r="929">
      <c r="AM929" s="158"/>
      <c r="AN929" s="158"/>
      <c r="AO929" s="158"/>
    </row>
    <row r="930">
      <c r="AM930" s="158"/>
      <c r="AN930" s="158"/>
      <c r="AO930" s="158"/>
    </row>
    <row r="931">
      <c r="AM931" s="158"/>
      <c r="AN931" s="158"/>
      <c r="AO931" s="158"/>
    </row>
    <row r="932">
      <c r="AM932" s="158"/>
      <c r="AN932" s="158"/>
      <c r="AO932" s="158"/>
    </row>
    <row r="933">
      <c r="AM933" s="158"/>
      <c r="AN933" s="158"/>
      <c r="AO933" s="158"/>
    </row>
    <row r="934">
      <c r="AM934" s="158"/>
      <c r="AN934" s="158"/>
      <c r="AO934" s="158"/>
    </row>
    <row r="935">
      <c r="AM935" s="158"/>
      <c r="AN935" s="158"/>
      <c r="AO935" s="158"/>
    </row>
    <row r="936">
      <c r="AM936" s="158"/>
      <c r="AN936" s="158"/>
      <c r="AO936" s="158"/>
    </row>
    <row r="937">
      <c r="AM937" s="158"/>
      <c r="AN937" s="158"/>
      <c r="AO937" s="158"/>
    </row>
    <row r="938">
      <c r="AM938" s="158"/>
      <c r="AN938" s="158"/>
      <c r="AO938" s="158"/>
    </row>
    <row r="939">
      <c r="AM939" s="158"/>
      <c r="AN939" s="158"/>
      <c r="AO939" s="158"/>
    </row>
    <row r="940">
      <c r="AM940" s="158"/>
      <c r="AN940" s="158"/>
      <c r="AO940" s="158"/>
    </row>
    <row r="941">
      <c r="AM941" s="158"/>
      <c r="AN941" s="158"/>
      <c r="AO941" s="158"/>
    </row>
    <row r="942">
      <c r="AM942" s="158"/>
      <c r="AN942" s="158"/>
      <c r="AO942" s="158"/>
    </row>
    <row r="943">
      <c r="AM943" s="158"/>
      <c r="AN943" s="158"/>
      <c r="AO943" s="158"/>
    </row>
    <row r="944">
      <c r="AM944" s="158"/>
      <c r="AN944" s="158"/>
      <c r="AO944" s="158"/>
    </row>
    <row r="945">
      <c r="AM945" s="158"/>
      <c r="AN945" s="158"/>
      <c r="AO945" s="158"/>
    </row>
    <row r="946">
      <c r="AM946" s="158"/>
      <c r="AN946" s="158"/>
      <c r="AO946" s="158"/>
    </row>
    <row r="947">
      <c r="AM947" s="158"/>
      <c r="AN947" s="158"/>
      <c r="AO947" s="158"/>
    </row>
    <row r="948">
      <c r="AM948" s="158"/>
      <c r="AN948" s="158"/>
      <c r="AO948" s="158"/>
    </row>
    <row r="949">
      <c r="AM949" s="158"/>
      <c r="AN949" s="158"/>
      <c r="AO949" s="158"/>
    </row>
    <row r="950">
      <c r="AM950" s="158"/>
      <c r="AN950" s="158"/>
      <c r="AO950" s="158"/>
    </row>
    <row r="951">
      <c r="AM951" s="158"/>
      <c r="AN951" s="158"/>
      <c r="AO951" s="158"/>
    </row>
    <row r="952">
      <c r="AM952" s="158"/>
      <c r="AN952" s="158"/>
      <c r="AO952" s="158"/>
    </row>
    <row r="953">
      <c r="AM953" s="158"/>
      <c r="AN953" s="158"/>
      <c r="AO953" s="158"/>
    </row>
    <row r="954">
      <c r="AM954" s="158"/>
      <c r="AN954" s="158"/>
      <c r="AO954" s="158"/>
    </row>
    <row r="955">
      <c r="AM955" s="158"/>
      <c r="AN955" s="158"/>
      <c r="AO955" s="158"/>
    </row>
    <row r="956">
      <c r="AM956" s="158"/>
      <c r="AN956" s="158"/>
      <c r="AO956" s="158"/>
    </row>
    <row r="957">
      <c r="AM957" s="158"/>
      <c r="AN957" s="158"/>
      <c r="AO957" s="158"/>
    </row>
    <row r="958">
      <c r="AM958" s="158"/>
      <c r="AN958" s="158"/>
      <c r="AO958" s="158"/>
    </row>
    <row r="959">
      <c r="AM959" s="158"/>
      <c r="AN959" s="158"/>
      <c r="AO959" s="158"/>
    </row>
    <row r="960">
      <c r="AM960" s="158"/>
      <c r="AN960" s="158"/>
      <c r="AO960" s="158"/>
    </row>
    <row r="961">
      <c r="AM961" s="158"/>
      <c r="AN961" s="158"/>
      <c r="AO961" s="158"/>
    </row>
    <row r="962">
      <c r="AM962" s="158"/>
      <c r="AN962" s="158"/>
      <c r="AO962" s="158"/>
    </row>
    <row r="963">
      <c r="AM963" s="158"/>
      <c r="AN963" s="158"/>
      <c r="AO963" s="158"/>
    </row>
    <row r="964">
      <c r="AM964" s="158"/>
      <c r="AN964" s="158"/>
      <c r="AO964" s="158"/>
    </row>
    <row r="965">
      <c r="AM965" s="158"/>
      <c r="AN965" s="158"/>
      <c r="AO965" s="158"/>
    </row>
    <row r="966">
      <c r="AM966" s="158"/>
      <c r="AN966" s="158"/>
      <c r="AO966" s="158"/>
    </row>
    <row r="967">
      <c r="AM967" s="158"/>
      <c r="AN967" s="158"/>
      <c r="AO967" s="158"/>
    </row>
    <row r="968">
      <c r="AM968" s="158"/>
      <c r="AN968" s="158"/>
      <c r="AO968" s="158"/>
    </row>
    <row r="969">
      <c r="AM969" s="158"/>
      <c r="AN969" s="158"/>
      <c r="AO969" s="158"/>
    </row>
    <row r="970">
      <c r="AM970" s="158"/>
      <c r="AN970" s="158"/>
      <c r="AO970" s="158"/>
    </row>
    <row r="971">
      <c r="AM971" s="158"/>
      <c r="AN971" s="158"/>
      <c r="AO971" s="158"/>
    </row>
    <row r="972">
      <c r="AM972" s="158"/>
      <c r="AN972" s="158"/>
      <c r="AO972" s="158"/>
    </row>
    <row r="973">
      <c r="AM973" s="158"/>
      <c r="AN973" s="158"/>
      <c r="AO973" s="158"/>
    </row>
    <row r="974">
      <c r="AM974" s="158"/>
      <c r="AN974" s="158"/>
      <c r="AO974" s="158"/>
    </row>
    <row r="975">
      <c r="AM975" s="158"/>
      <c r="AN975" s="158"/>
      <c r="AO975" s="158"/>
    </row>
    <row r="976">
      <c r="AM976" s="158"/>
      <c r="AN976" s="158"/>
      <c r="AO976" s="158"/>
    </row>
    <row r="977">
      <c r="AM977" s="158"/>
      <c r="AN977" s="158"/>
      <c r="AO977" s="158"/>
    </row>
    <row r="978">
      <c r="AM978" s="158"/>
      <c r="AN978" s="158"/>
      <c r="AO978" s="158"/>
    </row>
    <row r="979">
      <c r="AM979" s="158"/>
      <c r="AN979" s="158"/>
      <c r="AO979" s="158"/>
    </row>
    <row r="980">
      <c r="AM980" s="158"/>
      <c r="AN980" s="158"/>
      <c r="AO980" s="158"/>
    </row>
    <row r="981">
      <c r="AM981" s="158"/>
      <c r="AN981" s="158"/>
      <c r="AO981" s="158"/>
    </row>
    <row r="982">
      <c r="AM982" s="158"/>
      <c r="AN982" s="158"/>
      <c r="AO982" s="158"/>
    </row>
    <row r="983">
      <c r="AM983" s="158"/>
      <c r="AN983" s="158"/>
      <c r="AO983" s="158"/>
    </row>
    <row r="984">
      <c r="AM984" s="158"/>
      <c r="AN984" s="158"/>
      <c r="AO984" s="158"/>
    </row>
    <row r="985">
      <c r="AM985" s="158"/>
      <c r="AN985" s="158"/>
      <c r="AO985" s="158"/>
    </row>
    <row r="986">
      <c r="AM986" s="158"/>
      <c r="AN986" s="158"/>
      <c r="AO986" s="158"/>
    </row>
    <row r="987">
      <c r="AM987" s="158"/>
      <c r="AN987" s="158"/>
      <c r="AO987" s="158"/>
    </row>
    <row r="988">
      <c r="AM988" s="158"/>
      <c r="AN988" s="158"/>
      <c r="AO988" s="158"/>
    </row>
    <row r="989">
      <c r="AM989" s="158"/>
      <c r="AN989" s="158"/>
      <c r="AO989" s="158"/>
    </row>
    <row r="990">
      <c r="AM990" s="158"/>
      <c r="AN990" s="158"/>
      <c r="AO990" s="158"/>
    </row>
    <row r="991">
      <c r="AM991" s="158"/>
      <c r="AN991" s="158"/>
      <c r="AO991" s="158"/>
    </row>
    <row r="992">
      <c r="AM992" s="158"/>
      <c r="AN992" s="158"/>
      <c r="AO992" s="158"/>
    </row>
    <row r="993">
      <c r="AM993" s="158"/>
      <c r="AN993" s="158"/>
      <c r="AO993" s="158"/>
    </row>
    <row r="994">
      <c r="AM994" s="158"/>
      <c r="AN994" s="158"/>
      <c r="AO994" s="158"/>
    </row>
    <row r="995">
      <c r="AM995" s="158"/>
      <c r="AN995" s="158"/>
      <c r="AO995" s="158"/>
    </row>
    <row r="996">
      <c r="AM996" s="158"/>
      <c r="AN996" s="158"/>
      <c r="AO996" s="158"/>
    </row>
    <row r="997">
      <c r="AM997" s="158"/>
      <c r="AN997" s="158"/>
      <c r="AO997" s="158"/>
    </row>
    <row r="998">
      <c r="AM998" s="158"/>
      <c r="AN998" s="158"/>
      <c r="AO998" s="158"/>
    </row>
    <row r="999">
      <c r="AM999" s="158"/>
      <c r="AN999" s="158"/>
      <c r="AO999" s="158"/>
    </row>
    <row r="1000">
      <c r="AM1000" s="158"/>
      <c r="AN1000" s="158"/>
      <c r="AO1000" s="158"/>
    </row>
    <row r="1001">
      <c r="AM1001" s="158"/>
      <c r="AN1001" s="158"/>
      <c r="AO1001" s="158"/>
    </row>
    <row r="1002">
      <c r="AM1002" s="158"/>
      <c r="AN1002" s="158"/>
      <c r="AO1002" s="158"/>
    </row>
    <row r="1003">
      <c r="AM1003" s="158"/>
      <c r="AN1003" s="158"/>
      <c r="AO1003" s="158"/>
    </row>
  </sheetData>
  <mergeCells count="95">
    <mergeCell ref="T92:V92"/>
    <mergeCell ref="T93:V93"/>
    <mergeCell ref="T94:V94"/>
    <mergeCell ref="T99:V99"/>
    <mergeCell ref="T100:V100"/>
    <mergeCell ref="T101:V101"/>
    <mergeCell ref="T102:V102"/>
    <mergeCell ref="T103:V103"/>
    <mergeCell ref="T104:V104"/>
    <mergeCell ref="T109:V109"/>
    <mergeCell ref="T119:V119"/>
    <mergeCell ref="T120:V120"/>
    <mergeCell ref="T121:V121"/>
    <mergeCell ref="T122:V122"/>
    <mergeCell ref="T123:V123"/>
    <mergeCell ref="T124:V124"/>
    <mergeCell ref="T133:V133"/>
    <mergeCell ref="T134:V134"/>
    <mergeCell ref="T135:V135"/>
    <mergeCell ref="T136:V136"/>
    <mergeCell ref="T137:V137"/>
    <mergeCell ref="T138:V138"/>
    <mergeCell ref="T143:V143"/>
    <mergeCell ref="T144:V144"/>
    <mergeCell ref="T145:V145"/>
    <mergeCell ref="T146:V146"/>
    <mergeCell ref="T147:V147"/>
    <mergeCell ref="T153:V153"/>
    <mergeCell ref="T154:V154"/>
    <mergeCell ref="T155:V155"/>
    <mergeCell ref="T156:V156"/>
    <mergeCell ref="T157:V157"/>
    <mergeCell ref="T158:V158"/>
    <mergeCell ref="T163:V163"/>
    <mergeCell ref="T164:V164"/>
    <mergeCell ref="T185:V185"/>
    <mergeCell ref="T186:V186"/>
    <mergeCell ref="T187:V187"/>
    <mergeCell ref="T188:V188"/>
    <mergeCell ref="T165:V165"/>
    <mergeCell ref="T166:V166"/>
    <mergeCell ref="T167:V167"/>
    <mergeCell ref="T168:V168"/>
    <mergeCell ref="T173:V173"/>
    <mergeCell ref="T183:V183"/>
    <mergeCell ref="T184:V184"/>
    <mergeCell ref="T4:V4"/>
    <mergeCell ref="T5:V5"/>
    <mergeCell ref="T6:V6"/>
    <mergeCell ref="T7:V7"/>
    <mergeCell ref="T8:V8"/>
    <mergeCell ref="T9:V9"/>
    <mergeCell ref="T14:V14"/>
    <mergeCell ref="T15:V15"/>
    <mergeCell ref="T16:V16"/>
    <mergeCell ref="T17:V17"/>
    <mergeCell ref="T18:V18"/>
    <mergeCell ref="T19:V19"/>
    <mergeCell ref="T24:V24"/>
    <mergeCell ref="T25:V25"/>
    <mergeCell ref="T26:V26"/>
    <mergeCell ref="T27:V27"/>
    <mergeCell ref="T28:V28"/>
    <mergeCell ref="T29:V29"/>
    <mergeCell ref="T34:V34"/>
    <mergeCell ref="T35:V35"/>
    <mergeCell ref="T36:V36"/>
    <mergeCell ref="T57:V57"/>
    <mergeCell ref="T58:V58"/>
    <mergeCell ref="T59:V59"/>
    <mergeCell ref="A62:AL63"/>
    <mergeCell ref="A64:AL64"/>
    <mergeCell ref="A65:AL65"/>
    <mergeCell ref="A66:AL67"/>
    <mergeCell ref="T37:V37"/>
    <mergeCell ref="T38:V38"/>
    <mergeCell ref="T39:V39"/>
    <mergeCell ref="T44:V44"/>
    <mergeCell ref="T54:V54"/>
    <mergeCell ref="T55:V55"/>
    <mergeCell ref="T56:V56"/>
    <mergeCell ref="T69:V69"/>
    <mergeCell ref="T70:V70"/>
    <mergeCell ref="T71:V71"/>
    <mergeCell ref="T72:V72"/>
    <mergeCell ref="T73:V73"/>
    <mergeCell ref="T74:V74"/>
    <mergeCell ref="T79:V79"/>
    <mergeCell ref="T80:V80"/>
    <mergeCell ref="T81:V81"/>
    <mergeCell ref="T82:V82"/>
    <mergeCell ref="T83:V83"/>
    <mergeCell ref="T89:V89"/>
    <mergeCell ref="T90:V90"/>
    <mergeCell ref="T91:V9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3" max="3" width="8.88"/>
    <col customWidth="1" min="4" max="4" width="23.88"/>
    <col customWidth="1" min="5" max="5" width="8.63"/>
    <col customWidth="1" min="6" max="6" width="8.13"/>
    <col customWidth="1" min="7" max="7" width="11.63"/>
    <col customWidth="1" min="8" max="8" width="8.5"/>
    <col customWidth="1" min="9" max="9" width="7.88"/>
    <col customWidth="1" min="10" max="10" width="5.5"/>
    <col customWidth="1" min="11" max="11" width="9.0"/>
    <col customWidth="1" min="12" max="12" width="9.38"/>
    <col customWidth="1" min="13" max="13" width="6.0"/>
    <col customWidth="1" min="14" max="14" width="10.13"/>
    <col customWidth="1" min="17" max="17" width="13.25"/>
    <col customWidth="1" min="18" max="18" width="13.13"/>
    <col customWidth="1" min="22" max="22" width="6.25"/>
    <col customWidth="1" min="24" max="24" width="8.13"/>
    <col customWidth="1" min="25" max="25" width="12.25"/>
    <col customWidth="1" min="26" max="26" width="7.5"/>
    <col customWidth="1" min="27" max="27" width="8.75"/>
    <col customWidth="1" min="28" max="28" width="8.88"/>
    <col customWidth="1" min="29" max="29" width="7.75"/>
    <col customWidth="1" min="30" max="30" width="8.25"/>
    <col customWidth="1" min="31" max="32" width="7.63"/>
    <col customWidth="1" min="33" max="33" width="8.38"/>
    <col customWidth="1" min="34" max="34" width="6.5"/>
    <col customWidth="1" min="35" max="35" width="11.38"/>
  </cols>
  <sheetData>
    <row r="1">
      <c r="K1" s="44">
        <f>2.7-1.8</f>
        <v>0.9</v>
      </c>
      <c r="M1" s="44">
        <f>0.9/2</f>
        <v>0.45</v>
      </c>
      <c r="R1" s="149">
        <v>10.48</v>
      </c>
      <c r="U1" s="147">
        <f>R1+R2</f>
        <v>24.7549724</v>
      </c>
      <c r="V1" s="147">
        <f>U1*7820</f>
        <v>193583.8842</v>
      </c>
      <c r="W1" s="147">
        <f>V1/1000</f>
        <v>193.5838842</v>
      </c>
      <c r="AM1" s="307" t="s">
        <v>235</v>
      </c>
      <c r="AN1" s="307" t="s">
        <v>328</v>
      </c>
      <c r="AO1" s="307" t="s">
        <v>240</v>
      </c>
    </row>
    <row r="2">
      <c r="H2" s="44">
        <f>399.1-2.7</f>
        <v>396.4</v>
      </c>
      <c r="I2" s="147">
        <f>I4+2.7</f>
        <v>404.6</v>
      </c>
      <c r="O2" s="44">
        <v>0.45</v>
      </c>
      <c r="Q2" s="44" t="s">
        <v>329</v>
      </c>
      <c r="R2" s="147">
        <f>SUM(N10,N20,N30,N40,N50,N60,AI10,AI20,AI30,AI40,AI50,AI60)</f>
        <v>14.2749724</v>
      </c>
      <c r="S2" s="147">
        <f>R2*7820</f>
        <v>111630.2842</v>
      </c>
      <c r="T2" s="147">
        <f>S2/1000</f>
        <v>111.6302842</v>
      </c>
      <c r="AM2" s="158"/>
      <c r="AN2" s="158">
        <f>SUM(AM3:AM190)</f>
        <v>21.13985769</v>
      </c>
      <c r="AO2" s="158">
        <f>(AN2*7820)/1000</f>
        <v>165.3136871</v>
      </c>
    </row>
    <row r="3">
      <c r="B3" s="308" t="s">
        <v>330</v>
      </c>
      <c r="C3" s="309" t="s">
        <v>331</v>
      </c>
      <c r="D3" s="309" t="s">
        <v>332</v>
      </c>
      <c r="E3" s="309" t="s">
        <v>333</v>
      </c>
      <c r="F3" s="309" t="s">
        <v>334</v>
      </c>
      <c r="G3" s="309" t="s">
        <v>335</v>
      </c>
      <c r="H3" s="309" t="s">
        <v>336</v>
      </c>
      <c r="I3" s="309" t="s">
        <v>337</v>
      </c>
      <c r="J3" s="309" t="s">
        <v>338</v>
      </c>
      <c r="K3" s="309" t="s">
        <v>339</v>
      </c>
      <c r="L3" s="309" t="s">
        <v>340</v>
      </c>
      <c r="M3" s="309" t="s">
        <v>341</v>
      </c>
      <c r="N3" s="309" t="s">
        <v>235</v>
      </c>
      <c r="O3" s="309" t="s">
        <v>342</v>
      </c>
      <c r="P3" s="309" t="s">
        <v>229</v>
      </c>
      <c r="Q3" s="310"/>
      <c r="R3" s="311" t="s">
        <v>240</v>
      </c>
      <c r="W3" s="308" t="s">
        <v>330</v>
      </c>
      <c r="X3" s="309" t="s">
        <v>331</v>
      </c>
      <c r="Y3" s="309" t="s">
        <v>332</v>
      </c>
      <c r="Z3" s="309" t="s">
        <v>333</v>
      </c>
      <c r="AA3" s="309" t="s">
        <v>334</v>
      </c>
      <c r="AB3" s="309" t="s">
        <v>335</v>
      </c>
      <c r="AC3" s="309" t="s">
        <v>336</v>
      </c>
      <c r="AD3" s="309" t="s">
        <v>337</v>
      </c>
      <c r="AE3" s="309" t="s">
        <v>338</v>
      </c>
      <c r="AF3" s="309" t="s">
        <v>339</v>
      </c>
      <c r="AG3" s="309" t="s">
        <v>340</v>
      </c>
      <c r="AH3" s="309" t="s">
        <v>341</v>
      </c>
      <c r="AI3" s="309" t="s">
        <v>235</v>
      </c>
      <c r="AJ3" s="309" t="s">
        <v>342</v>
      </c>
      <c r="AK3" s="309" t="s">
        <v>229</v>
      </c>
      <c r="AL3" s="310"/>
      <c r="AM3" s="158"/>
      <c r="AN3" s="158"/>
      <c r="AO3" s="158"/>
    </row>
    <row r="4">
      <c r="B4" s="312" t="s">
        <v>343</v>
      </c>
      <c r="C4" s="313"/>
      <c r="D4" s="314">
        <v>1.0</v>
      </c>
      <c r="E4" s="314">
        <v>570.2</v>
      </c>
      <c r="F4" s="314">
        <v>570.2</v>
      </c>
      <c r="G4" s="315">
        <f t="shared" ref="G4:G9" si="1">SUM(E4:F4)</f>
        <v>1140.4</v>
      </c>
      <c r="H4" s="316">
        <f>399.1-0.45-0.55</f>
        <v>398.1</v>
      </c>
      <c r="I4" s="316">
        <f>400.9+0.45+0.55</f>
        <v>401.9</v>
      </c>
      <c r="J4" s="316">
        <f t="shared" ref="J4:J9" si="2">I4-H4</f>
        <v>3.8</v>
      </c>
      <c r="K4" s="316">
        <v>512.0375</v>
      </c>
      <c r="L4" s="316">
        <f t="shared" ref="L4:L9" si="3">567.4+0.8375</f>
        <v>568.2375</v>
      </c>
      <c r="M4" s="313">
        <f t="shared" ref="M4:M9" si="4">L4-K4</f>
        <v>56.2</v>
      </c>
      <c r="N4" s="313">
        <f t="shared" ref="N4:N9" si="5">(G4*J4*M4)/1000000</f>
        <v>0.243543824</v>
      </c>
      <c r="O4" s="316">
        <v>7820.0</v>
      </c>
      <c r="P4" s="313">
        <f t="shared" ref="P4:P9" si="6">N4*O4</f>
        <v>1904.512704</v>
      </c>
      <c r="Q4" s="317"/>
      <c r="R4" s="318">
        <f>SUM(P11,P21,P31,P41,P51,P61,AK11,AK21,AK31,AK41,AK51,AK61)</f>
        <v>111.6302842</v>
      </c>
      <c r="S4" s="319" t="s">
        <v>343</v>
      </c>
      <c r="T4" s="319" t="s">
        <v>344</v>
      </c>
      <c r="W4" s="312" t="s">
        <v>345</v>
      </c>
      <c r="X4" s="313"/>
      <c r="Y4" s="314">
        <v>1.0</v>
      </c>
      <c r="Z4" s="314">
        <f>-400.9-0.45-0.55</f>
        <v>-401.9</v>
      </c>
      <c r="AA4" s="314">
        <f>-399.1+0.45+0.55</f>
        <v>-398.1</v>
      </c>
      <c r="AB4" s="316">
        <f t="shared" ref="AB4:AB9" si="7">AA4-Z4</f>
        <v>3.8</v>
      </c>
      <c r="AC4" s="316">
        <v>535.0</v>
      </c>
      <c r="AD4" s="316">
        <v>535.0</v>
      </c>
      <c r="AE4" s="313">
        <f t="shared" ref="AE4:AE9" si="8">AD4+AC4</f>
        <v>1070</v>
      </c>
      <c r="AF4" s="316">
        <v>512.0375</v>
      </c>
      <c r="AG4" s="316">
        <v>568.2375</v>
      </c>
      <c r="AH4" s="313">
        <f t="shared" ref="AH4:AH9" si="9">AG4-AF4</f>
        <v>56.2</v>
      </c>
      <c r="AI4" s="313">
        <f t="shared" ref="AI4:AI9" si="10">(AB4*AE4*AH4)/1000000</f>
        <v>0.2285092</v>
      </c>
      <c r="AJ4" s="316">
        <v>7820.0</v>
      </c>
      <c r="AK4" s="313">
        <f t="shared" ref="AK4:AK9" si="11">AI4*AJ4</f>
        <v>1786.941944</v>
      </c>
      <c r="AL4" s="317"/>
      <c r="AM4" s="158"/>
      <c r="AN4" s="158"/>
      <c r="AO4" s="158"/>
    </row>
    <row r="5">
      <c r="B5" s="312" t="s">
        <v>346</v>
      </c>
      <c r="C5" s="313"/>
      <c r="D5" s="314">
        <v>2.0</v>
      </c>
      <c r="E5" s="314">
        <v>570.2</v>
      </c>
      <c r="F5" s="314">
        <v>570.2</v>
      </c>
      <c r="G5" s="315">
        <f t="shared" si="1"/>
        <v>1140.4</v>
      </c>
      <c r="H5" s="316">
        <f>239.1-0.45-0.55</f>
        <v>238.1</v>
      </c>
      <c r="I5" s="316">
        <f>240.9+0.45+0.55</f>
        <v>241.9</v>
      </c>
      <c r="J5" s="316">
        <f t="shared" si="2"/>
        <v>3.8</v>
      </c>
      <c r="K5" s="316">
        <v>512.0375</v>
      </c>
      <c r="L5" s="316">
        <f t="shared" si="3"/>
        <v>568.2375</v>
      </c>
      <c r="M5" s="313">
        <f t="shared" si="4"/>
        <v>56.2</v>
      </c>
      <c r="N5" s="313">
        <f t="shared" si="5"/>
        <v>0.243543824</v>
      </c>
      <c r="O5" s="316">
        <v>7820.0</v>
      </c>
      <c r="P5" s="313">
        <f t="shared" si="6"/>
        <v>1904.512704</v>
      </c>
      <c r="Q5" s="317"/>
      <c r="S5" s="319" t="s">
        <v>346</v>
      </c>
      <c r="T5" s="319" t="s">
        <v>344</v>
      </c>
      <c r="W5" s="312" t="s">
        <v>347</v>
      </c>
      <c r="X5" s="313"/>
      <c r="Y5" s="314">
        <v>2.0</v>
      </c>
      <c r="Z5" s="314">
        <f>-240.9-0.45-0.55</f>
        <v>-241.9</v>
      </c>
      <c r="AA5" s="314">
        <f>-239.1+0.45+0.55</f>
        <v>-238.1</v>
      </c>
      <c r="AB5" s="316">
        <f t="shared" si="7"/>
        <v>3.8</v>
      </c>
      <c r="AC5" s="316">
        <v>535.0</v>
      </c>
      <c r="AD5" s="316">
        <v>535.0</v>
      </c>
      <c r="AE5" s="313">
        <f t="shared" si="8"/>
        <v>1070</v>
      </c>
      <c r="AF5" s="316">
        <v>512.0375</v>
      </c>
      <c r="AG5" s="316">
        <v>568.2375</v>
      </c>
      <c r="AH5" s="313">
        <f t="shared" si="9"/>
        <v>56.2</v>
      </c>
      <c r="AI5" s="313">
        <f t="shared" si="10"/>
        <v>0.2285092</v>
      </c>
      <c r="AJ5" s="316">
        <v>7820.0</v>
      </c>
      <c r="AK5" s="313">
        <f t="shared" si="11"/>
        <v>1786.941944</v>
      </c>
      <c r="AL5" s="317"/>
      <c r="AM5" s="158"/>
      <c r="AN5" s="158"/>
      <c r="AO5" s="158"/>
    </row>
    <row r="6">
      <c r="B6" s="312" t="s">
        <v>348</v>
      </c>
      <c r="C6" s="313"/>
      <c r="D6" s="314">
        <v>3.0</v>
      </c>
      <c r="E6" s="314">
        <v>570.2</v>
      </c>
      <c r="F6" s="314">
        <v>570.2</v>
      </c>
      <c r="G6" s="315">
        <f t="shared" si="1"/>
        <v>1140.4</v>
      </c>
      <c r="H6" s="316">
        <f>79.1-0.45-0.55</f>
        <v>78.1</v>
      </c>
      <c r="I6" s="316">
        <f>80.9+0.45+0.55</f>
        <v>81.9</v>
      </c>
      <c r="J6" s="316">
        <f t="shared" si="2"/>
        <v>3.8</v>
      </c>
      <c r="K6" s="316">
        <v>512.0375</v>
      </c>
      <c r="L6" s="316">
        <f t="shared" si="3"/>
        <v>568.2375</v>
      </c>
      <c r="M6" s="313">
        <f t="shared" si="4"/>
        <v>56.2</v>
      </c>
      <c r="N6" s="313">
        <f t="shared" si="5"/>
        <v>0.243543824</v>
      </c>
      <c r="O6" s="316">
        <v>7820.0</v>
      </c>
      <c r="P6" s="313">
        <f t="shared" si="6"/>
        <v>1904.512704</v>
      </c>
      <c r="Q6" s="317"/>
      <c r="S6" s="319" t="s">
        <v>348</v>
      </c>
      <c r="T6" s="319" t="s">
        <v>344</v>
      </c>
      <c r="W6" s="312" t="s">
        <v>349</v>
      </c>
      <c r="X6" s="313"/>
      <c r="Y6" s="314">
        <v>3.0</v>
      </c>
      <c r="Z6" s="314">
        <f>-80.9-0.45-0.55</f>
        <v>-81.9</v>
      </c>
      <c r="AA6" s="314">
        <f>-79.1+0.45+0.55</f>
        <v>-78.1</v>
      </c>
      <c r="AB6" s="316">
        <f t="shared" si="7"/>
        <v>3.8</v>
      </c>
      <c r="AC6" s="316">
        <v>535.0</v>
      </c>
      <c r="AD6" s="316">
        <v>535.0</v>
      </c>
      <c r="AE6" s="313">
        <f t="shared" si="8"/>
        <v>1070</v>
      </c>
      <c r="AF6" s="316">
        <v>512.0375</v>
      </c>
      <c r="AG6" s="316">
        <v>568.2375</v>
      </c>
      <c r="AH6" s="313">
        <f t="shared" si="9"/>
        <v>56.2</v>
      </c>
      <c r="AI6" s="313">
        <f t="shared" si="10"/>
        <v>0.2285092</v>
      </c>
      <c r="AJ6" s="316">
        <v>7820.0</v>
      </c>
      <c r="AK6" s="313">
        <f t="shared" si="11"/>
        <v>1786.941944</v>
      </c>
      <c r="AL6" s="317"/>
      <c r="AM6" s="158"/>
      <c r="AN6" s="158"/>
      <c r="AO6" s="158"/>
    </row>
    <row r="7">
      <c r="B7" s="312" t="s">
        <v>350</v>
      </c>
      <c r="C7" s="313"/>
      <c r="D7" s="314">
        <v>4.0</v>
      </c>
      <c r="E7" s="314">
        <v>570.2</v>
      </c>
      <c r="F7" s="314">
        <v>570.2</v>
      </c>
      <c r="G7" s="315">
        <f t="shared" si="1"/>
        <v>1140.4</v>
      </c>
      <c r="H7" s="316">
        <f>-80.9-0.45-0.55</f>
        <v>-81.9</v>
      </c>
      <c r="I7" s="316">
        <f>-79.1+0.45+0.55</f>
        <v>-78.1</v>
      </c>
      <c r="J7" s="316">
        <f t="shared" si="2"/>
        <v>3.8</v>
      </c>
      <c r="K7" s="316">
        <v>512.0375</v>
      </c>
      <c r="L7" s="316">
        <f t="shared" si="3"/>
        <v>568.2375</v>
      </c>
      <c r="M7" s="313">
        <f t="shared" si="4"/>
        <v>56.2</v>
      </c>
      <c r="N7" s="313">
        <f t="shared" si="5"/>
        <v>0.243543824</v>
      </c>
      <c r="O7" s="316">
        <v>7820.0</v>
      </c>
      <c r="P7" s="313">
        <f t="shared" si="6"/>
        <v>1904.512704</v>
      </c>
      <c r="Q7" s="317"/>
      <c r="S7" s="319" t="s">
        <v>350</v>
      </c>
      <c r="T7" s="319" t="s">
        <v>344</v>
      </c>
      <c r="W7" s="312" t="s">
        <v>351</v>
      </c>
      <c r="X7" s="313"/>
      <c r="Y7" s="314">
        <v>4.0</v>
      </c>
      <c r="Z7" s="314">
        <f>79.1-0.45-0.55</f>
        <v>78.1</v>
      </c>
      <c r="AA7" s="314">
        <f>80.9+0.45+0.55</f>
        <v>81.9</v>
      </c>
      <c r="AB7" s="316">
        <f t="shared" si="7"/>
        <v>3.8</v>
      </c>
      <c r="AC7" s="316">
        <v>535.0</v>
      </c>
      <c r="AD7" s="316">
        <v>535.0</v>
      </c>
      <c r="AE7" s="313">
        <f t="shared" si="8"/>
        <v>1070</v>
      </c>
      <c r="AF7" s="316">
        <v>512.0375</v>
      </c>
      <c r="AG7" s="316">
        <v>568.2375</v>
      </c>
      <c r="AH7" s="313">
        <f t="shared" si="9"/>
        <v>56.2</v>
      </c>
      <c r="AI7" s="313">
        <f t="shared" si="10"/>
        <v>0.2285092</v>
      </c>
      <c r="AJ7" s="316">
        <v>7820.0</v>
      </c>
      <c r="AK7" s="313">
        <f t="shared" si="11"/>
        <v>1786.941944</v>
      </c>
      <c r="AL7" s="317"/>
      <c r="AM7" s="158"/>
      <c r="AN7" s="158"/>
      <c r="AO7" s="158"/>
    </row>
    <row r="8">
      <c r="B8" s="312" t="s">
        <v>352</v>
      </c>
      <c r="C8" s="313"/>
      <c r="D8" s="314">
        <v>5.0</v>
      </c>
      <c r="E8" s="314">
        <v>570.2</v>
      </c>
      <c r="F8" s="314">
        <v>570.2</v>
      </c>
      <c r="G8" s="315">
        <f t="shared" si="1"/>
        <v>1140.4</v>
      </c>
      <c r="H8" s="316">
        <f>-240.9-0.45-0.55</f>
        <v>-241.9</v>
      </c>
      <c r="I8" s="316">
        <f>-239.1+0.45+0.55</f>
        <v>-238.1</v>
      </c>
      <c r="J8" s="316">
        <f t="shared" si="2"/>
        <v>3.8</v>
      </c>
      <c r="K8" s="316">
        <v>512.0375</v>
      </c>
      <c r="L8" s="316">
        <f t="shared" si="3"/>
        <v>568.2375</v>
      </c>
      <c r="M8" s="313">
        <f t="shared" si="4"/>
        <v>56.2</v>
      </c>
      <c r="N8" s="313">
        <f t="shared" si="5"/>
        <v>0.243543824</v>
      </c>
      <c r="O8" s="316">
        <v>7820.0</v>
      </c>
      <c r="P8" s="313">
        <f t="shared" si="6"/>
        <v>1904.512704</v>
      </c>
      <c r="Q8" s="317"/>
      <c r="S8" s="319" t="s">
        <v>352</v>
      </c>
      <c r="T8" s="319" t="s">
        <v>344</v>
      </c>
      <c r="W8" s="312" t="s">
        <v>353</v>
      </c>
      <c r="X8" s="313"/>
      <c r="Y8" s="314">
        <v>5.0</v>
      </c>
      <c r="Z8" s="314">
        <f>239.1-0.45-0.55</f>
        <v>238.1</v>
      </c>
      <c r="AA8" s="314">
        <f>240.9+0.45+0.55</f>
        <v>241.9</v>
      </c>
      <c r="AB8" s="316">
        <f t="shared" si="7"/>
        <v>3.8</v>
      </c>
      <c r="AC8" s="316">
        <v>535.0</v>
      </c>
      <c r="AD8" s="316">
        <v>535.0</v>
      </c>
      <c r="AE8" s="313">
        <f t="shared" si="8"/>
        <v>1070</v>
      </c>
      <c r="AF8" s="316">
        <v>512.0375</v>
      </c>
      <c r="AG8" s="316">
        <v>568.2375</v>
      </c>
      <c r="AH8" s="313">
        <f t="shared" si="9"/>
        <v>56.2</v>
      </c>
      <c r="AI8" s="313">
        <f t="shared" si="10"/>
        <v>0.2285092</v>
      </c>
      <c r="AJ8" s="316">
        <v>7820.0</v>
      </c>
      <c r="AK8" s="313">
        <f t="shared" si="11"/>
        <v>1786.941944</v>
      </c>
      <c r="AL8" s="317"/>
      <c r="AM8" s="158"/>
      <c r="AN8" s="158"/>
      <c r="AO8" s="158"/>
    </row>
    <row r="9">
      <c r="B9" s="312" t="s">
        <v>354</v>
      </c>
      <c r="C9" s="313"/>
      <c r="D9" s="314">
        <v>6.0</v>
      </c>
      <c r="E9" s="314">
        <v>570.2</v>
      </c>
      <c r="F9" s="314">
        <v>570.2</v>
      </c>
      <c r="G9" s="315">
        <f t="shared" si="1"/>
        <v>1140.4</v>
      </c>
      <c r="H9" s="316">
        <f>-400.9-0.45-0.55</f>
        <v>-401.9</v>
      </c>
      <c r="I9" s="316">
        <f>-399.1+0.45+0.55</f>
        <v>-398.1</v>
      </c>
      <c r="J9" s="316">
        <f t="shared" si="2"/>
        <v>3.8</v>
      </c>
      <c r="K9" s="316">
        <v>512.0375</v>
      </c>
      <c r="L9" s="316">
        <f t="shared" si="3"/>
        <v>568.2375</v>
      </c>
      <c r="M9" s="313">
        <f t="shared" si="4"/>
        <v>56.2</v>
      </c>
      <c r="N9" s="313">
        <f t="shared" si="5"/>
        <v>0.243543824</v>
      </c>
      <c r="O9" s="316">
        <v>7820.0</v>
      </c>
      <c r="P9" s="313">
        <f t="shared" si="6"/>
        <v>1904.512704</v>
      </c>
      <c r="Q9" s="317"/>
      <c r="S9" s="319" t="s">
        <v>354</v>
      </c>
      <c r="T9" s="319" t="s">
        <v>344</v>
      </c>
      <c r="W9" s="312" t="s">
        <v>355</v>
      </c>
      <c r="X9" s="313"/>
      <c r="Y9" s="314">
        <v>6.0</v>
      </c>
      <c r="Z9" s="314">
        <f>399.1-0.45-0.55</f>
        <v>398.1</v>
      </c>
      <c r="AA9" s="314">
        <f>400.9+0.45+0.55</f>
        <v>401.9</v>
      </c>
      <c r="AB9" s="316">
        <f t="shared" si="7"/>
        <v>3.8</v>
      </c>
      <c r="AC9" s="316">
        <v>535.0</v>
      </c>
      <c r="AD9" s="316">
        <v>535.0</v>
      </c>
      <c r="AE9" s="313">
        <f t="shared" si="8"/>
        <v>1070</v>
      </c>
      <c r="AF9" s="316">
        <v>512.0375</v>
      </c>
      <c r="AG9" s="316">
        <v>568.2375</v>
      </c>
      <c r="AH9" s="313">
        <f t="shared" si="9"/>
        <v>56.2</v>
      </c>
      <c r="AI9" s="313">
        <f t="shared" si="10"/>
        <v>0.2285092</v>
      </c>
      <c r="AJ9" s="316">
        <v>7820.0</v>
      </c>
      <c r="AK9" s="313">
        <f t="shared" si="11"/>
        <v>1786.941944</v>
      </c>
      <c r="AL9" s="317"/>
      <c r="AM9" s="158"/>
      <c r="AN9" s="158"/>
      <c r="AO9" s="158"/>
    </row>
    <row r="10">
      <c r="B10" s="320"/>
      <c r="C10" s="313"/>
      <c r="D10" s="316" t="s">
        <v>294</v>
      </c>
      <c r="E10" s="313"/>
      <c r="F10" s="313"/>
      <c r="G10" s="313"/>
      <c r="H10" s="313"/>
      <c r="I10" s="313"/>
      <c r="J10" s="313"/>
      <c r="K10" s="313"/>
      <c r="L10" s="313"/>
      <c r="M10" s="313"/>
      <c r="N10" s="313">
        <f>SUM(N4:N9)</f>
        <v>1.461262944</v>
      </c>
      <c r="O10" s="313"/>
      <c r="P10" s="313">
        <f>SUM(P4:P9)</f>
        <v>11427.07622</v>
      </c>
      <c r="Q10" s="317"/>
      <c r="S10" s="321"/>
      <c r="T10" s="321"/>
      <c r="U10" s="321"/>
      <c r="V10" s="321"/>
      <c r="W10" s="320"/>
      <c r="X10" s="313"/>
      <c r="Y10" s="316" t="s">
        <v>294</v>
      </c>
      <c r="Z10" s="313"/>
      <c r="AA10" s="313"/>
      <c r="AB10" s="313"/>
      <c r="AC10" s="313"/>
      <c r="AD10" s="313"/>
      <c r="AE10" s="313"/>
      <c r="AF10" s="313"/>
      <c r="AG10" s="313"/>
      <c r="AH10" s="313"/>
      <c r="AI10" s="313">
        <f>SUM(AI4:AI9)</f>
        <v>1.3710552</v>
      </c>
      <c r="AJ10" s="313"/>
      <c r="AK10" s="313">
        <f>SUM(AK4:AK9)</f>
        <v>10721.65166</v>
      </c>
      <c r="AL10" s="317"/>
      <c r="AM10" s="158">
        <f>AI10+N10</f>
        <v>2.832318144</v>
      </c>
      <c r="AN10" s="158"/>
      <c r="AO10" s="158"/>
    </row>
    <row r="11">
      <c r="B11" s="320"/>
      <c r="C11" s="313"/>
      <c r="D11" s="313"/>
      <c r="E11" s="313"/>
      <c r="F11" s="313"/>
      <c r="G11" s="313"/>
      <c r="H11" s="313"/>
      <c r="I11" s="313"/>
      <c r="J11" s="313"/>
      <c r="K11" s="313"/>
      <c r="L11" s="313"/>
      <c r="M11" s="313"/>
      <c r="N11" s="313"/>
      <c r="O11" s="313"/>
      <c r="P11" s="313">
        <f>P10/1000</f>
        <v>11.42707622</v>
      </c>
      <c r="Q11" s="322" t="s">
        <v>356</v>
      </c>
      <c r="S11" s="321"/>
      <c r="T11" s="321"/>
      <c r="U11" s="321"/>
      <c r="V11" s="321"/>
      <c r="W11" s="320"/>
      <c r="X11" s="313"/>
      <c r="Y11" s="313"/>
      <c r="Z11" s="313"/>
      <c r="AA11" s="313"/>
      <c r="AB11" s="313"/>
      <c r="AC11" s="313"/>
      <c r="AD11" s="313"/>
      <c r="AE11" s="313"/>
      <c r="AF11" s="313"/>
      <c r="AG11" s="313"/>
      <c r="AH11" s="313"/>
      <c r="AI11" s="313"/>
      <c r="AJ11" s="313"/>
      <c r="AK11" s="313">
        <f>AK10/1000</f>
        <v>10.72165166</v>
      </c>
      <c r="AL11" s="322" t="s">
        <v>356</v>
      </c>
      <c r="AM11" s="307"/>
      <c r="AN11" s="307"/>
      <c r="AO11" s="307"/>
    </row>
    <row r="12">
      <c r="B12" s="320"/>
      <c r="C12" s="313"/>
      <c r="D12" s="313"/>
      <c r="E12" s="313"/>
      <c r="F12" s="313"/>
      <c r="G12" s="313"/>
      <c r="H12" s="313"/>
      <c r="I12" s="313"/>
      <c r="J12" s="313"/>
      <c r="K12" s="313"/>
      <c r="L12" s="313"/>
      <c r="M12" s="313"/>
      <c r="N12" s="313"/>
      <c r="O12" s="313"/>
      <c r="P12" s="313"/>
      <c r="Q12" s="322"/>
      <c r="S12" s="321"/>
      <c r="T12" s="321"/>
      <c r="U12" s="321"/>
      <c r="V12" s="321"/>
      <c r="W12" s="320"/>
      <c r="X12" s="313"/>
      <c r="Y12" s="313"/>
      <c r="Z12" s="313"/>
      <c r="AA12" s="313"/>
      <c r="AB12" s="313"/>
      <c r="AC12" s="313"/>
      <c r="AD12" s="313"/>
      <c r="AE12" s="313"/>
      <c r="AF12" s="313"/>
      <c r="AG12" s="313"/>
      <c r="AH12" s="313"/>
      <c r="AI12" s="313"/>
      <c r="AJ12" s="313"/>
      <c r="AK12" s="313"/>
      <c r="AL12" s="322"/>
      <c r="AM12" s="307"/>
      <c r="AN12" s="307"/>
      <c r="AO12" s="307"/>
    </row>
    <row r="13">
      <c r="B13" s="323" t="s">
        <v>330</v>
      </c>
      <c r="C13" s="316" t="s">
        <v>357</v>
      </c>
      <c r="D13" s="316" t="s">
        <v>332</v>
      </c>
      <c r="E13" s="316" t="s">
        <v>333</v>
      </c>
      <c r="F13" s="316" t="s">
        <v>334</v>
      </c>
      <c r="G13" s="316" t="s">
        <v>335</v>
      </c>
      <c r="H13" s="316" t="s">
        <v>336</v>
      </c>
      <c r="I13" s="316" t="s">
        <v>337</v>
      </c>
      <c r="J13" s="316" t="s">
        <v>338</v>
      </c>
      <c r="K13" s="316" t="s">
        <v>339</v>
      </c>
      <c r="L13" s="316" t="s">
        <v>340</v>
      </c>
      <c r="M13" s="316" t="s">
        <v>341</v>
      </c>
      <c r="N13" s="316" t="s">
        <v>235</v>
      </c>
      <c r="O13" s="316" t="s">
        <v>342</v>
      </c>
      <c r="P13" s="316" t="s">
        <v>229</v>
      </c>
      <c r="Q13" s="317"/>
      <c r="S13" s="321"/>
      <c r="T13" s="321"/>
      <c r="U13" s="321"/>
      <c r="V13" s="321"/>
      <c r="W13" s="323" t="s">
        <v>330</v>
      </c>
      <c r="X13" s="316" t="s">
        <v>357</v>
      </c>
      <c r="Y13" s="316" t="s">
        <v>332</v>
      </c>
      <c r="Z13" s="316" t="s">
        <v>333</v>
      </c>
      <c r="AA13" s="316" t="s">
        <v>334</v>
      </c>
      <c r="AB13" s="316" t="s">
        <v>335</v>
      </c>
      <c r="AC13" s="316" t="s">
        <v>336</v>
      </c>
      <c r="AD13" s="316" t="s">
        <v>337</v>
      </c>
      <c r="AE13" s="316" t="s">
        <v>338</v>
      </c>
      <c r="AF13" s="316" t="s">
        <v>339</v>
      </c>
      <c r="AG13" s="316" t="s">
        <v>340</v>
      </c>
      <c r="AH13" s="316" t="s">
        <v>341</v>
      </c>
      <c r="AI13" s="316" t="s">
        <v>235</v>
      </c>
      <c r="AJ13" s="316" t="s">
        <v>342</v>
      </c>
      <c r="AK13" s="316" t="s">
        <v>229</v>
      </c>
      <c r="AL13" s="317"/>
      <c r="AM13" s="158"/>
      <c r="AN13" s="158"/>
      <c r="AO13" s="158"/>
    </row>
    <row r="14">
      <c r="B14" s="312" t="s">
        <v>358</v>
      </c>
      <c r="C14" s="313"/>
      <c r="D14" s="316">
        <v>1.0</v>
      </c>
      <c r="E14" s="314">
        <v>570.2</v>
      </c>
      <c r="F14" s="314">
        <v>570.2</v>
      </c>
      <c r="G14" s="315">
        <f t="shared" ref="G14:G19" si="12">SUM(E14:F14)</f>
        <v>1140.4</v>
      </c>
      <c r="H14" s="316">
        <f>399.1-0.45-0.55</f>
        <v>398.1</v>
      </c>
      <c r="I14" s="316">
        <f>400.9+0.45+0.55</f>
        <v>401.9</v>
      </c>
      <c r="J14" s="316">
        <f t="shared" ref="J14:J19" si="13">I14-H14</f>
        <v>3.8</v>
      </c>
      <c r="K14" s="316">
        <f t="shared" ref="K14:K19" si="14">-567.4-0.8375</f>
        <v>-568.2375</v>
      </c>
      <c r="L14" s="316">
        <v>-511.2</v>
      </c>
      <c r="M14" s="313">
        <f t="shared" ref="M14:M19" si="15">L14-K14</f>
        <v>57.0375</v>
      </c>
      <c r="N14" s="313">
        <f t="shared" ref="N14:N19" si="16">(G14*J14*M14)/1000000</f>
        <v>0.247173147</v>
      </c>
      <c r="O14" s="316">
        <v>7820.0</v>
      </c>
      <c r="P14" s="313">
        <f t="shared" ref="P14:P19" si="17">N14*O14</f>
        <v>1932.89401</v>
      </c>
      <c r="Q14" s="317"/>
      <c r="S14" s="319" t="s">
        <v>358</v>
      </c>
      <c r="T14" s="319" t="s">
        <v>359</v>
      </c>
      <c r="W14" s="312" t="s">
        <v>360</v>
      </c>
      <c r="X14" s="313"/>
      <c r="Y14" s="314">
        <v>1.0</v>
      </c>
      <c r="Z14" s="314">
        <f>-400.9-0.45-0.55</f>
        <v>-401.9</v>
      </c>
      <c r="AA14" s="314">
        <f>-399.1+0.45+0.55</f>
        <v>-398.1</v>
      </c>
      <c r="AB14" s="316">
        <f t="shared" ref="AB14:AB19" si="18">AA14-Z14</f>
        <v>3.8</v>
      </c>
      <c r="AC14" s="316">
        <v>535.0</v>
      </c>
      <c r="AD14" s="316">
        <v>535.0</v>
      </c>
      <c r="AE14" s="313">
        <f t="shared" ref="AE14:AE19" si="19">AD14+AC14</f>
        <v>1070</v>
      </c>
      <c r="AF14" s="316">
        <v>-568.2375</v>
      </c>
      <c r="AG14" s="316">
        <v>-510.9875</v>
      </c>
      <c r="AH14" s="313">
        <f t="shared" ref="AH14:AH19" si="20">AG14-AF14</f>
        <v>57.25</v>
      </c>
      <c r="AI14" s="313">
        <f t="shared" ref="AI14:AI19" si="21">(AB14*AE14*AH14)/1000000</f>
        <v>0.2327785</v>
      </c>
      <c r="AJ14" s="316">
        <v>7820.0</v>
      </c>
      <c r="AK14" s="313">
        <f t="shared" ref="AK14:AK19" si="22">AI14*AJ14</f>
        <v>1820.32787</v>
      </c>
      <c r="AL14" s="317"/>
      <c r="AM14" s="158"/>
      <c r="AN14" s="158"/>
      <c r="AO14" s="158"/>
    </row>
    <row r="15">
      <c r="B15" s="312" t="s">
        <v>361</v>
      </c>
      <c r="C15" s="313"/>
      <c r="D15" s="316">
        <v>2.0</v>
      </c>
      <c r="E15" s="314">
        <v>570.2</v>
      </c>
      <c r="F15" s="314">
        <v>570.2</v>
      </c>
      <c r="G15" s="315">
        <f t="shared" si="12"/>
        <v>1140.4</v>
      </c>
      <c r="H15" s="316">
        <f>239.1-0.45-0.55</f>
        <v>238.1</v>
      </c>
      <c r="I15" s="316">
        <f>240.9+0.45+0.55</f>
        <v>241.9</v>
      </c>
      <c r="J15" s="316">
        <f t="shared" si="13"/>
        <v>3.8</v>
      </c>
      <c r="K15" s="316">
        <f t="shared" si="14"/>
        <v>-568.2375</v>
      </c>
      <c r="L15" s="316">
        <v>-511.2</v>
      </c>
      <c r="M15" s="313">
        <f t="shared" si="15"/>
        <v>57.0375</v>
      </c>
      <c r="N15" s="313">
        <f t="shared" si="16"/>
        <v>0.247173147</v>
      </c>
      <c r="O15" s="316">
        <v>7820.0</v>
      </c>
      <c r="P15" s="313">
        <f t="shared" si="17"/>
        <v>1932.89401</v>
      </c>
      <c r="Q15" s="317"/>
      <c r="S15" s="319" t="s">
        <v>361</v>
      </c>
      <c r="T15" s="319" t="s">
        <v>359</v>
      </c>
      <c r="W15" s="312" t="s">
        <v>362</v>
      </c>
      <c r="X15" s="313"/>
      <c r="Y15" s="314">
        <v>2.0</v>
      </c>
      <c r="Z15" s="314">
        <f>-240.9-0.45-0.55</f>
        <v>-241.9</v>
      </c>
      <c r="AA15" s="314">
        <f>-239.1+0.45+0.55</f>
        <v>-238.1</v>
      </c>
      <c r="AB15" s="316">
        <f t="shared" si="18"/>
        <v>3.8</v>
      </c>
      <c r="AC15" s="316">
        <v>535.0</v>
      </c>
      <c r="AD15" s="316">
        <v>535.0</v>
      </c>
      <c r="AE15" s="313">
        <f t="shared" si="19"/>
        <v>1070</v>
      </c>
      <c r="AF15" s="316">
        <v>-568.2375</v>
      </c>
      <c r="AG15" s="316">
        <v>-510.9875</v>
      </c>
      <c r="AH15" s="313">
        <f t="shared" si="20"/>
        <v>57.25</v>
      </c>
      <c r="AI15" s="313">
        <f t="shared" si="21"/>
        <v>0.2327785</v>
      </c>
      <c r="AJ15" s="316">
        <v>7820.0</v>
      </c>
      <c r="AK15" s="313">
        <f t="shared" si="22"/>
        <v>1820.32787</v>
      </c>
      <c r="AL15" s="317"/>
      <c r="AM15" s="158"/>
      <c r="AN15" s="158"/>
      <c r="AO15" s="158"/>
    </row>
    <row r="16">
      <c r="B16" s="312" t="s">
        <v>363</v>
      </c>
      <c r="C16" s="313"/>
      <c r="D16" s="316">
        <v>3.0</v>
      </c>
      <c r="E16" s="314">
        <v>570.2</v>
      </c>
      <c r="F16" s="314">
        <v>570.2</v>
      </c>
      <c r="G16" s="315">
        <f t="shared" si="12"/>
        <v>1140.4</v>
      </c>
      <c r="H16" s="316">
        <f>79.1-0.45-0.55</f>
        <v>78.1</v>
      </c>
      <c r="I16" s="316">
        <f>80.9+0.45+0.55</f>
        <v>81.9</v>
      </c>
      <c r="J16" s="316">
        <f t="shared" si="13"/>
        <v>3.8</v>
      </c>
      <c r="K16" s="316">
        <f t="shared" si="14"/>
        <v>-568.2375</v>
      </c>
      <c r="L16" s="316">
        <v>-511.2</v>
      </c>
      <c r="M16" s="313">
        <f t="shared" si="15"/>
        <v>57.0375</v>
      </c>
      <c r="N16" s="313">
        <f t="shared" si="16"/>
        <v>0.247173147</v>
      </c>
      <c r="O16" s="316">
        <v>7820.0</v>
      </c>
      <c r="P16" s="313">
        <f t="shared" si="17"/>
        <v>1932.89401</v>
      </c>
      <c r="Q16" s="317"/>
      <c r="S16" s="319" t="s">
        <v>363</v>
      </c>
      <c r="T16" s="319" t="s">
        <v>359</v>
      </c>
      <c r="W16" s="312" t="s">
        <v>364</v>
      </c>
      <c r="X16" s="313"/>
      <c r="Y16" s="314">
        <v>3.0</v>
      </c>
      <c r="Z16" s="314">
        <f>-80.9-0.45-0.55</f>
        <v>-81.9</v>
      </c>
      <c r="AA16" s="314">
        <f>-79.1+0.45+0.55</f>
        <v>-78.1</v>
      </c>
      <c r="AB16" s="316">
        <f t="shared" si="18"/>
        <v>3.8</v>
      </c>
      <c r="AC16" s="316">
        <v>535.0</v>
      </c>
      <c r="AD16" s="316">
        <v>535.0</v>
      </c>
      <c r="AE16" s="313">
        <f t="shared" si="19"/>
        <v>1070</v>
      </c>
      <c r="AF16" s="316">
        <v>-568.2375</v>
      </c>
      <c r="AG16" s="316">
        <v>-510.9875</v>
      </c>
      <c r="AH16" s="313">
        <f t="shared" si="20"/>
        <v>57.25</v>
      </c>
      <c r="AI16" s="313">
        <f t="shared" si="21"/>
        <v>0.2327785</v>
      </c>
      <c r="AJ16" s="316">
        <v>7820.0</v>
      </c>
      <c r="AK16" s="313">
        <f t="shared" si="22"/>
        <v>1820.32787</v>
      </c>
      <c r="AL16" s="317"/>
      <c r="AM16" s="158"/>
      <c r="AN16" s="158"/>
      <c r="AO16" s="158"/>
    </row>
    <row r="17">
      <c r="B17" s="312" t="s">
        <v>365</v>
      </c>
      <c r="C17" s="313"/>
      <c r="D17" s="316">
        <v>4.0</v>
      </c>
      <c r="E17" s="314">
        <v>570.2</v>
      </c>
      <c r="F17" s="314">
        <v>570.2</v>
      </c>
      <c r="G17" s="315">
        <f t="shared" si="12"/>
        <v>1140.4</v>
      </c>
      <c r="H17" s="316">
        <f>-80.9-0.45-0.55</f>
        <v>-81.9</v>
      </c>
      <c r="I17" s="316">
        <f>-79.1+0.45+0.55</f>
        <v>-78.1</v>
      </c>
      <c r="J17" s="316">
        <f t="shared" si="13"/>
        <v>3.8</v>
      </c>
      <c r="K17" s="316">
        <f t="shared" si="14"/>
        <v>-568.2375</v>
      </c>
      <c r="L17" s="316">
        <v>-511.2</v>
      </c>
      <c r="M17" s="313">
        <f t="shared" si="15"/>
        <v>57.0375</v>
      </c>
      <c r="N17" s="313">
        <f t="shared" si="16"/>
        <v>0.247173147</v>
      </c>
      <c r="O17" s="316">
        <v>7820.0</v>
      </c>
      <c r="P17" s="313">
        <f t="shared" si="17"/>
        <v>1932.89401</v>
      </c>
      <c r="Q17" s="317"/>
      <c r="S17" s="319" t="s">
        <v>365</v>
      </c>
      <c r="T17" s="319" t="s">
        <v>359</v>
      </c>
      <c r="W17" s="312" t="s">
        <v>366</v>
      </c>
      <c r="X17" s="313"/>
      <c r="Y17" s="314">
        <v>4.0</v>
      </c>
      <c r="Z17" s="314">
        <f>79.1-0.45-0.55</f>
        <v>78.1</v>
      </c>
      <c r="AA17" s="314">
        <f>80.9+0.45+0.55</f>
        <v>81.9</v>
      </c>
      <c r="AB17" s="316">
        <f t="shared" si="18"/>
        <v>3.8</v>
      </c>
      <c r="AC17" s="316">
        <v>535.0</v>
      </c>
      <c r="AD17" s="316">
        <v>535.0</v>
      </c>
      <c r="AE17" s="313">
        <f t="shared" si="19"/>
        <v>1070</v>
      </c>
      <c r="AF17" s="316">
        <v>-568.2375</v>
      </c>
      <c r="AG17" s="316">
        <v>-510.9875</v>
      </c>
      <c r="AH17" s="313">
        <f t="shared" si="20"/>
        <v>57.25</v>
      </c>
      <c r="AI17" s="313">
        <f t="shared" si="21"/>
        <v>0.2327785</v>
      </c>
      <c r="AJ17" s="316">
        <v>7820.0</v>
      </c>
      <c r="AK17" s="313">
        <f t="shared" si="22"/>
        <v>1820.32787</v>
      </c>
      <c r="AL17" s="317"/>
      <c r="AM17" s="158"/>
      <c r="AN17" s="158"/>
      <c r="AO17" s="158"/>
    </row>
    <row r="18">
      <c r="B18" s="312" t="s">
        <v>367</v>
      </c>
      <c r="C18" s="313"/>
      <c r="D18" s="316">
        <v>5.0</v>
      </c>
      <c r="E18" s="314">
        <v>570.2</v>
      </c>
      <c r="F18" s="314">
        <v>570.2</v>
      </c>
      <c r="G18" s="315">
        <f t="shared" si="12"/>
        <v>1140.4</v>
      </c>
      <c r="H18" s="316">
        <f>-240.9-0.45-0.55</f>
        <v>-241.9</v>
      </c>
      <c r="I18" s="316">
        <f>-239.1+0.45+0.55</f>
        <v>-238.1</v>
      </c>
      <c r="J18" s="316">
        <f t="shared" si="13"/>
        <v>3.8</v>
      </c>
      <c r="K18" s="316">
        <f t="shared" si="14"/>
        <v>-568.2375</v>
      </c>
      <c r="L18" s="316">
        <v>-511.2</v>
      </c>
      <c r="M18" s="313">
        <f t="shared" si="15"/>
        <v>57.0375</v>
      </c>
      <c r="N18" s="313">
        <f t="shared" si="16"/>
        <v>0.247173147</v>
      </c>
      <c r="O18" s="316">
        <v>7820.0</v>
      </c>
      <c r="P18" s="313">
        <f t="shared" si="17"/>
        <v>1932.89401</v>
      </c>
      <c r="Q18" s="317"/>
      <c r="S18" s="319" t="s">
        <v>367</v>
      </c>
      <c r="T18" s="319" t="s">
        <v>359</v>
      </c>
      <c r="W18" s="312" t="s">
        <v>368</v>
      </c>
      <c r="X18" s="313"/>
      <c r="Y18" s="314">
        <v>5.0</v>
      </c>
      <c r="Z18" s="314">
        <f>239.1-0.45-0.55</f>
        <v>238.1</v>
      </c>
      <c r="AA18" s="314">
        <f>240.9+0.45+0.55</f>
        <v>241.9</v>
      </c>
      <c r="AB18" s="316">
        <f t="shared" si="18"/>
        <v>3.8</v>
      </c>
      <c r="AC18" s="316">
        <v>535.0</v>
      </c>
      <c r="AD18" s="316">
        <v>535.0</v>
      </c>
      <c r="AE18" s="313">
        <f t="shared" si="19"/>
        <v>1070</v>
      </c>
      <c r="AF18" s="316">
        <v>-568.2375</v>
      </c>
      <c r="AG18" s="316">
        <v>-510.9875</v>
      </c>
      <c r="AH18" s="313">
        <f t="shared" si="20"/>
        <v>57.25</v>
      </c>
      <c r="AI18" s="313">
        <f t="shared" si="21"/>
        <v>0.2327785</v>
      </c>
      <c r="AJ18" s="316">
        <v>7820.0</v>
      </c>
      <c r="AK18" s="313">
        <f t="shared" si="22"/>
        <v>1820.32787</v>
      </c>
      <c r="AL18" s="317"/>
      <c r="AM18" s="158"/>
      <c r="AN18" s="158"/>
      <c r="AO18" s="158"/>
    </row>
    <row r="19">
      <c r="B19" s="312" t="s">
        <v>369</v>
      </c>
      <c r="C19" s="313"/>
      <c r="D19" s="316">
        <v>6.0</v>
      </c>
      <c r="E19" s="314">
        <v>570.2</v>
      </c>
      <c r="F19" s="314">
        <v>570.2</v>
      </c>
      <c r="G19" s="315">
        <f t="shared" si="12"/>
        <v>1140.4</v>
      </c>
      <c r="H19" s="316">
        <f>-400.9-0.45-0.55</f>
        <v>-401.9</v>
      </c>
      <c r="I19" s="316">
        <f>-399.1+0.45+0.55</f>
        <v>-398.1</v>
      </c>
      <c r="J19" s="316">
        <f t="shared" si="13"/>
        <v>3.8</v>
      </c>
      <c r="K19" s="316">
        <f t="shared" si="14"/>
        <v>-568.2375</v>
      </c>
      <c r="L19" s="316">
        <v>-511.2</v>
      </c>
      <c r="M19" s="313">
        <f t="shared" si="15"/>
        <v>57.0375</v>
      </c>
      <c r="N19" s="313">
        <f t="shared" si="16"/>
        <v>0.247173147</v>
      </c>
      <c r="O19" s="316">
        <v>7820.0</v>
      </c>
      <c r="P19" s="313">
        <f t="shared" si="17"/>
        <v>1932.89401</v>
      </c>
      <c r="Q19" s="317"/>
      <c r="S19" s="319" t="s">
        <v>369</v>
      </c>
      <c r="T19" s="319" t="s">
        <v>359</v>
      </c>
      <c r="W19" s="312" t="s">
        <v>370</v>
      </c>
      <c r="X19" s="313"/>
      <c r="Y19" s="314">
        <v>6.0</v>
      </c>
      <c r="Z19" s="314">
        <f>399.1-0.45-0.55</f>
        <v>398.1</v>
      </c>
      <c r="AA19" s="314">
        <f>400.9+0.45+0.55</f>
        <v>401.9</v>
      </c>
      <c r="AB19" s="316">
        <f t="shared" si="18"/>
        <v>3.8</v>
      </c>
      <c r="AC19" s="316">
        <v>535.0</v>
      </c>
      <c r="AD19" s="316">
        <v>535.0</v>
      </c>
      <c r="AE19" s="313">
        <f t="shared" si="19"/>
        <v>1070</v>
      </c>
      <c r="AF19" s="316">
        <v>-568.2375</v>
      </c>
      <c r="AG19" s="316">
        <v>-510.9875</v>
      </c>
      <c r="AH19" s="313">
        <f t="shared" si="20"/>
        <v>57.25</v>
      </c>
      <c r="AI19" s="313">
        <f t="shared" si="21"/>
        <v>0.2327785</v>
      </c>
      <c r="AJ19" s="316">
        <v>7820.0</v>
      </c>
      <c r="AK19" s="313">
        <f t="shared" si="22"/>
        <v>1820.32787</v>
      </c>
      <c r="AL19" s="317"/>
      <c r="AM19" s="158"/>
      <c r="AN19" s="158"/>
      <c r="AO19" s="158"/>
    </row>
    <row r="20">
      <c r="B20" s="320"/>
      <c r="C20" s="313"/>
      <c r="D20" s="316" t="s">
        <v>294</v>
      </c>
      <c r="E20" s="313"/>
      <c r="F20" s="313"/>
      <c r="G20" s="313"/>
      <c r="H20" s="313"/>
      <c r="I20" s="313"/>
      <c r="J20" s="313"/>
      <c r="K20" s="313"/>
      <c r="L20" s="313"/>
      <c r="M20" s="313"/>
      <c r="N20" s="313">
        <f>SUM(N14:N19)</f>
        <v>1.483038882</v>
      </c>
      <c r="O20" s="313"/>
      <c r="P20" s="313">
        <f>SUM(P14:P19)</f>
        <v>11597.36406</v>
      </c>
      <c r="Q20" s="317"/>
      <c r="S20" s="321"/>
      <c r="T20" s="321"/>
      <c r="U20" s="321"/>
      <c r="V20" s="321"/>
      <c r="W20" s="320"/>
      <c r="X20" s="313"/>
      <c r="Y20" s="316" t="s">
        <v>294</v>
      </c>
      <c r="Z20" s="313"/>
      <c r="AA20" s="313"/>
      <c r="AB20" s="313"/>
      <c r="AC20" s="313"/>
      <c r="AD20" s="313"/>
      <c r="AE20" s="313"/>
      <c r="AF20" s="313"/>
      <c r="AG20" s="313"/>
      <c r="AH20" s="313"/>
      <c r="AI20" s="313">
        <f>SUM(AI14:AI19)</f>
        <v>1.396671</v>
      </c>
      <c r="AJ20" s="313"/>
      <c r="AK20" s="313">
        <f>SUM(AK14:AK19)</f>
        <v>10921.96722</v>
      </c>
      <c r="AL20" s="317"/>
      <c r="AM20" s="158">
        <f>AI20+N20</f>
        <v>2.879709882</v>
      </c>
      <c r="AN20" s="158"/>
      <c r="AO20" s="158"/>
    </row>
    <row r="21">
      <c r="B21" s="324"/>
      <c r="C21" s="325"/>
      <c r="D21" s="325"/>
      <c r="E21" s="325"/>
      <c r="F21" s="325"/>
      <c r="G21" s="325"/>
      <c r="H21" s="325"/>
      <c r="I21" s="325"/>
      <c r="J21" s="325"/>
      <c r="K21" s="325"/>
      <c r="L21" s="325"/>
      <c r="M21" s="325"/>
      <c r="N21" s="325"/>
      <c r="O21" s="325"/>
      <c r="P21" s="325">
        <f>P20/1000</f>
        <v>11.59736406</v>
      </c>
      <c r="Q21" s="326" t="s">
        <v>371</v>
      </c>
      <c r="S21" s="321"/>
      <c r="T21" s="321"/>
      <c r="U21" s="321"/>
      <c r="V21" s="321"/>
      <c r="W21" s="324"/>
      <c r="X21" s="325"/>
      <c r="Y21" s="325"/>
      <c r="Z21" s="325"/>
      <c r="AA21" s="325"/>
      <c r="AB21" s="325"/>
      <c r="AC21" s="325"/>
      <c r="AD21" s="325"/>
      <c r="AE21" s="325"/>
      <c r="AF21" s="325"/>
      <c r="AG21" s="325"/>
      <c r="AH21" s="325"/>
      <c r="AI21" s="325"/>
      <c r="AJ21" s="325"/>
      <c r="AK21" s="325">
        <f>AK20/1000</f>
        <v>10.92196722</v>
      </c>
      <c r="AL21" s="326" t="s">
        <v>371</v>
      </c>
      <c r="AM21" s="307"/>
      <c r="AN21" s="307"/>
      <c r="AO21" s="307"/>
    </row>
    <row r="22">
      <c r="Q22" s="44"/>
      <c r="S22" s="321"/>
      <c r="T22" s="321"/>
      <c r="U22" s="321"/>
      <c r="V22" s="321"/>
      <c r="AM22" s="158"/>
      <c r="AN22" s="158"/>
      <c r="AO22" s="158"/>
    </row>
    <row r="23">
      <c r="B23" s="327" t="s">
        <v>330</v>
      </c>
      <c r="C23" s="328" t="s">
        <v>372</v>
      </c>
      <c r="D23" s="328" t="s">
        <v>332</v>
      </c>
      <c r="E23" s="328" t="s">
        <v>333</v>
      </c>
      <c r="F23" s="328" t="s">
        <v>334</v>
      </c>
      <c r="G23" s="328" t="s">
        <v>335</v>
      </c>
      <c r="H23" s="328" t="s">
        <v>336</v>
      </c>
      <c r="I23" s="328" t="s">
        <v>337</v>
      </c>
      <c r="J23" s="328" t="s">
        <v>338</v>
      </c>
      <c r="K23" s="328" t="s">
        <v>339</v>
      </c>
      <c r="L23" s="328" t="s">
        <v>340</v>
      </c>
      <c r="M23" s="328" t="s">
        <v>341</v>
      </c>
      <c r="N23" s="328" t="s">
        <v>235</v>
      </c>
      <c r="O23" s="328" t="s">
        <v>342</v>
      </c>
      <c r="P23" s="328" t="s">
        <v>229</v>
      </c>
      <c r="Q23" s="329"/>
      <c r="S23" s="321"/>
      <c r="T23" s="321"/>
      <c r="U23" s="321"/>
      <c r="V23" s="321"/>
      <c r="W23" s="327" t="s">
        <v>330</v>
      </c>
      <c r="X23" s="328" t="s">
        <v>372</v>
      </c>
      <c r="Y23" s="328" t="s">
        <v>332</v>
      </c>
      <c r="Z23" s="328" t="s">
        <v>333</v>
      </c>
      <c r="AA23" s="328" t="s">
        <v>334</v>
      </c>
      <c r="AB23" s="328" t="s">
        <v>335</v>
      </c>
      <c r="AC23" s="328" t="s">
        <v>336</v>
      </c>
      <c r="AD23" s="328" t="s">
        <v>337</v>
      </c>
      <c r="AE23" s="328" t="s">
        <v>338</v>
      </c>
      <c r="AF23" s="328" t="s">
        <v>339</v>
      </c>
      <c r="AG23" s="328" t="s">
        <v>340</v>
      </c>
      <c r="AH23" s="328" t="s">
        <v>341</v>
      </c>
      <c r="AI23" s="328" t="s">
        <v>235</v>
      </c>
      <c r="AJ23" s="328" t="s">
        <v>342</v>
      </c>
      <c r="AK23" s="328" t="s">
        <v>229</v>
      </c>
      <c r="AL23" s="329"/>
      <c r="AM23" s="158"/>
      <c r="AN23" s="158"/>
      <c r="AO23" s="158"/>
    </row>
    <row r="24">
      <c r="B24" s="330" t="s">
        <v>373</v>
      </c>
      <c r="C24" s="331"/>
      <c r="D24" s="332">
        <v>1.0</v>
      </c>
      <c r="E24" s="333">
        <v>508.4</v>
      </c>
      <c r="F24" s="333">
        <v>508.4</v>
      </c>
      <c r="G24" s="334">
        <f t="shared" ref="G24:G29" si="23">SUM(E24:F24)</f>
        <v>1016.8</v>
      </c>
      <c r="H24" s="332">
        <v>477.1425</v>
      </c>
      <c r="I24" s="332">
        <v>535.8375</v>
      </c>
      <c r="J24" s="331">
        <f t="shared" ref="J24:J29" si="24">I24-H24</f>
        <v>58.695</v>
      </c>
      <c r="K24" s="333">
        <f>-400.9-0.45-0.55</f>
        <v>-401.9</v>
      </c>
      <c r="L24" s="333">
        <f>-399.1+0.45+0.55</f>
        <v>-398.1</v>
      </c>
      <c r="M24" s="332">
        <f t="shared" ref="M24:M29" si="25">L24-K24</f>
        <v>3.8</v>
      </c>
      <c r="N24" s="331">
        <f t="shared" ref="N24:N29" si="26">(G24*J24*M24)/1000000</f>
        <v>0.2267880888</v>
      </c>
      <c r="O24" s="332">
        <v>7820.0</v>
      </c>
      <c r="P24" s="331">
        <f t="shared" ref="P24:P29" si="27">N24*O24</f>
        <v>1773.482854</v>
      </c>
      <c r="Q24" s="335"/>
      <c r="S24" s="319" t="s">
        <v>374</v>
      </c>
      <c r="T24" s="319" t="s">
        <v>375</v>
      </c>
      <c r="W24" s="330" t="s">
        <v>374</v>
      </c>
      <c r="X24" s="331"/>
      <c r="Y24" s="332">
        <v>1.0</v>
      </c>
      <c r="Z24" s="332">
        <f>399.1-0.45-0.55</f>
        <v>398.1</v>
      </c>
      <c r="AA24" s="332">
        <f>400.9+0.45+0.55</f>
        <v>401.9</v>
      </c>
      <c r="AB24" s="332">
        <f t="shared" ref="AB24:AB29" si="28">AA24-Z24</f>
        <v>3.8</v>
      </c>
      <c r="AC24" s="332">
        <v>477.1425</v>
      </c>
      <c r="AD24" s="332">
        <v>535.8375</v>
      </c>
      <c r="AE24" s="331">
        <f t="shared" ref="AE24:AE29" si="29">AD24-AC24</f>
        <v>58.695</v>
      </c>
      <c r="AF24" s="332">
        <v>508.4</v>
      </c>
      <c r="AG24" s="332">
        <v>508.4</v>
      </c>
      <c r="AH24" s="331">
        <f t="shared" ref="AH24:AH29" si="30">AF24+AG24</f>
        <v>1016.8</v>
      </c>
      <c r="AI24" s="331">
        <f t="shared" ref="AI24:AI29" si="31">(AB24*AE24*AH24)/1000000</f>
        <v>0.2267880888</v>
      </c>
      <c r="AJ24" s="332">
        <v>7820.0</v>
      </c>
      <c r="AK24" s="331">
        <f t="shared" ref="AK24:AK29" si="32">AI24*AJ24</f>
        <v>1773.482854</v>
      </c>
      <c r="AL24" s="335"/>
      <c r="AM24" s="158"/>
      <c r="AN24" s="158"/>
      <c r="AO24" s="158"/>
    </row>
    <row r="25">
      <c r="B25" s="330" t="s">
        <v>376</v>
      </c>
      <c r="C25" s="331"/>
      <c r="D25" s="332">
        <v>2.0</v>
      </c>
      <c r="E25" s="333">
        <v>508.4</v>
      </c>
      <c r="F25" s="333">
        <v>508.4</v>
      </c>
      <c r="G25" s="334">
        <f t="shared" si="23"/>
        <v>1016.8</v>
      </c>
      <c r="H25" s="332">
        <v>477.1425</v>
      </c>
      <c r="I25" s="332">
        <v>535.8375</v>
      </c>
      <c r="J25" s="331">
        <f t="shared" si="24"/>
        <v>58.695</v>
      </c>
      <c r="K25" s="333">
        <f>-240.9-0.45-0.55</f>
        <v>-241.9</v>
      </c>
      <c r="L25" s="333">
        <f>-239.1+0.45+0.55</f>
        <v>-238.1</v>
      </c>
      <c r="M25" s="332">
        <f t="shared" si="25"/>
        <v>3.8</v>
      </c>
      <c r="N25" s="331">
        <f t="shared" si="26"/>
        <v>0.2267880888</v>
      </c>
      <c r="O25" s="332">
        <v>7820.0</v>
      </c>
      <c r="P25" s="331">
        <f t="shared" si="27"/>
        <v>1773.482854</v>
      </c>
      <c r="Q25" s="335"/>
      <c r="S25" s="319" t="s">
        <v>377</v>
      </c>
      <c r="T25" s="319" t="s">
        <v>375</v>
      </c>
      <c r="W25" s="330" t="s">
        <v>377</v>
      </c>
      <c r="X25" s="331"/>
      <c r="Y25" s="332">
        <v>2.0</v>
      </c>
      <c r="Z25" s="332">
        <f>239.1-0.45-0.55</f>
        <v>238.1</v>
      </c>
      <c r="AA25" s="332">
        <f>240.9+0.45+0.55</f>
        <v>241.9</v>
      </c>
      <c r="AB25" s="332">
        <f t="shared" si="28"/>
        <v>3.8</v>
      </c>
      <c r="AC25" s="332">
        <v>477.1425</v>
      </c>
      <c r="AD25" s="332">
        <v>535.8375</v>
      </c>
      <c r="AE25" s="331">
        <f t="shared" si="29"/>
        <v>58.695</v>
      </c>
      <c r="AF25" s="332">
        <v>508.4</v>
      </c>
      <c r="AG25" s="332">
        <v>508.4</v>
      </c>
      <c r="AH25" s="331">
        <f t="shared" si="30"/>
        <v>1016.8</v>
      </c>
      <c r="AI25" s="331">
        <f t="shared" si="31"/>
        <v>0.2267880888</v>
      </c>
      <c r="AJ25" s="332">
        <v>7820.0</v>
      </c>
      <c r="AK25" s="331">
        <f t="shared" si="32"/>
        <v>1773.482854</v>
      </c>
      <c r="AL25" s="335"/>
      <c r="AM25" s="158"/>
      <c r="AN25" s="158"/>
      <c r="AO25" s="158"/>
    </row>
    <row r="26">
      <c r="B26" s="330" t="s">
        <v>378</v>
      </c>
      <c r="C26" s="331"/>
      <c r="D26" s="332">
        <v>3.0</v>
      </c>
      <c r="E26" s="333">
        <v>508.4</v>
      </c>
      <c r="F26" s="333">
        <v>508.4</v>
      </c>
      <c r="G26" s="334">
        <f t="shared" si="23"/>
        <v>1016.8</v>
      </c>
      <c r="H26" s="332">
        <v>477.1425</v>
      </c>
      <c r="I26" s="332">
        <v>535.8375</v>
      </c>
      <c r="J26" s="331">
        <f t="shared" si="24"/>
        <v>58.695</v>
      </c>
      <c r="K26" s="333">
        <f>-80.9-0.45-0.55</f>
        <v>-81.9</v>
      </c>
      <c r="L26" s="333">
        <f>-79.1+0.45+0.55</f>
        <v>-78.1</v>
      </c>
      <c r="M26" s="332">
        <f t="shared" si="25"/>
        <v>3.8</v>
      </c>
      <c r="N26" s="331">
        <f t="shared" si="26"/>
        <v>0.2267880888</v>
      </c>
      <c r="O26" s="332">
        <v>7820.0</v>
      </c>
      <c r="P26" s="331">
        <f t="shared" si="27"/>
        <v>1773.482854</v>
      </c>
      <c r="Q26" s="335"/>
      <c r="S26" s="319" t="s">
        <v>379</v>
      </c>
      <c r="T26" s="319" t="s">
        <v>375</v>
      </c>
      <c r="W26" s="330" t="s">
        <v>379</v>
      </c>
      <c r="X26" s="331"/>
      <c r="Y26" s="332">
        <v>3.0</v>
      </c>
      <c r="Z26" s="332">
        <f>79.1-0.45-0.55</f>
        <v>78.1</v>
      </c>
      <c r="AA26" s="332">
        <f>80.9+0.45+0.55</f>
        <v>81.9</v>
      </c>
      <c r="AB26" s="332">
        <f t="shared" si="28"/>
        <v>3.8</v>
      </c>
      <c r="AC26" s="332">
        <v>477.1425</v>
      </c>
      <c r="AD26" s="332">
        <v>535.8375</v>
      </c>
      <c r="AE26" s="331">
        <f t="shared" si="29"/>
        <v>58.695</v>
      </c>
      <c r="AF26" s="332">
        <v>508.4</v>
      </c>
      <c r="AG26" s="332">
        <v>508.4</v>
      </c>
      <c r="AH26" s="331">
        <f t="shared" si="30"/>
        <v>1016.8</v>
      </c>
      <c r="AI26" s="331">
        <f t="shared" si="31"/>
        <v>0.2267880888</v>
      </c>
      <c r="AJ26" s="332">
        <v>7820.0</v>
      </c>
      <c r="AK26" s="331">
        <f t="shared" si="32"/>
        <v>1773.482854</v>
      </c>
      <c r="AL26" s="335"/>
      <c r="AM26" s="158"/>
      <c r="AN26" s="158"/>
      <c r="AO26" s="158"/>
    </row>
    <row r="27">
      <c r="B27" s="330" t="s">
        <v>380</v>
      </c>
      <c r="C27" s="331"/>
      <c r="D27" s="332">
        <v>4.0</v>
      </c>
      <c r="E27" s="333">
        <v>508.4</v>
      </c>
      <c r="F27" s="333">
        <v>508.4</v>
      </c>
      <c r="G27" s="334">
        <f t="shared" si="23"/>
        <v>1016.8</v>
      </c>
      <c r="H27" s="332">
        <v>477.1425</v>
      </c>
      <c r="I27" s="332">
        <v>535.8375</v>
      </c>
      <c r="J27" s="331">
        <f t="shared" si="24"/>
        <v>58.695</v>
      </c>
      <c r="K27" s="333">
        <f>79.1-0.45-0.55</f>
        <v>78.1</v>
      </c>
      <c r="L27" s="333">
        <f>80.9+0.45+0.55</f>
        <v>81.9</v>
      </c>
      <c r="M27" s="332">
        <f t="shared" si="25"/>
        <v>3.8</v>
      </c>
      <c r="N27" s="331">
        <f t="shared" si="26"/>
        <v>0.2267880888</v>
      </c>
      <c r="O27" s="332">
        <v>7820.0</v>
      </c>
      <c r="P27" s="331">
        <f t="shared" si="27"/>
        <v>1773.482854</v>
      </c>
      <c r="Q27" s="335"/>
      <c r="S27" s="319" t="s">
        <v>381</v>
      </c>
      <c r="T27" s="319" t="s">
        <v>375</v>
      </c>
      <c r="W27" s="330" t="s">
        <v>381</v>
      </c>
      <c r="X27" s="331"/>
      <c r="Y27" s="332">
        <v>4.0</v>
      </c>
      <c r="Z27" s="332">
        <f>-80.9-0.45-0.55</f>
        <v>-81.9</v>
      </c>
      <c r="AA27" s="332">
        <f>-79.1+0.45+0.55</f>
        <v>-78.1</v>
      </c>
      <c r="AB27" s="332">
        <f t="shared" si="28"/>
        <v>3.8</v>
      </c>
      <c r="AC27" s="332">
        <v>477.1425</v>
      </c>
      <c r="AD27" s="332">
        <v>535.8375</v>
      </c>
      <c r="AE27" s="331">
        <f t="shared" si="29"/>
        <v>58.695</v>
      </c>
      <c r="AF27" s="332">
        <v>508.4</v>
      </c>
      <c r="AG27" s="332">
        <v>508.4</v>
      </c>
      <c r="AH27" s="331">
        <f t="shared" si="30"/>
        <v>1016.8</v>
      </c>
      <c r="AI27" s="331">
        <f t="shared" si="31"/>
        <v>0.2267880888</v>
      </c>
      <c r="AJ27" s="332">
        <v>7820.0</v>
      </c>
      <c r="AK27" s="331">
        <f t="shared" si="32"/>
        <v>1773.482854</v>
      </c>
      <c r="AL27" s="335"/>
      <c r="AM27" s="158"/>
      <c r="AN27" s="158"/>
      <c r="AO27" s="158"/>
    </row>
    <row r="28">
      <c r="B28" s="330" t="s">
        <v>382</v>
      </c>
      <c r="C28" s="331"/>
      <c r="D28" s="332">
        <v>5.0</v>
      </c>
      <c r="E28" s="333">
        <v>508.4</v>
      </c>
      <c r="F28" s="333">
        <v>508.4</v>
      </c>
      <c r="G28" s="334">
        <f t="shared" si="23"/>
        <v>1016.8</v>
      </c>
      <c r="H28" s="332">
        <v>477.1425</v>
      </c>
      <c r="I28" s="332">
        <v>535.8375</v>
      </c>
      <c r="J28" s="331">
        <f t="shared" si="24"/>
        <v>58.695</v>
      </c>
      <c r="K28" s="333">
        <f>239.1-0.45-0.55</f>
        <v>238.1</v>
      </c>
      <c r="L28" s="333">
        <f>240.9+0.45+0.55</f>
        <v>241.9</v>
      </c>
      <c r="M28" s="332">
        <f t="shared" si="25"/>
        <v>3.8</v>
      </c>
      <c r="N28" s="331">
        <f t="shared" si="26"/>
        <v>0.2267880888</v>
      </c>
      <c r="O28" s="332">
        <v>7820.0</v>
      </c>
      <c r="P28" s="331">
        <f t="shared" si="27"/>
        <v>1773.482854</v>
      </c>
      <c r="Q28" s="335"/>
      <c r="S28" s="319" t="s">
        <v>383</v>
      </c>
      <c r="T28" s="319" t="s">
        <v>375</v>
      </c>
      <c r="W28" s="330" t="s">
        <v>383</v>
      </c>
      <c r="X28" s="331"/>
      <c r="Y28" s="332">
        <v>5.0</v>
      </c>
      <c r="Z28" s="332">
        <f>-240.9-0.45-0.55</f>
        <v>-241.9</v>
      </c>
      <c r="AA28" s="332">
        <f>-239.1+0.45+0.55</f>
        <v>-238.1</v>
      </c>
      <c r="AB28" s="332">
        <f t="shared" si="28"/>
        <v>3.8</v>
      </c>
      <c r="AC28" s="332">
        <v>477.1425</v>
      </c>
      <c r="AD28" s="332">
        <v>535.8375</v>
      </c>
      <c r="AE28" s="331">
        <f t="shared" si="29"/>
        <v>58.695</v>
      </c>
      <c r="AF28" s="332">
        <v>508.4</v>
      </c>
      <c r="AG28" s="332">
        <v>508.4</v>
      </c>
      <c r="AH28" s="331">
        <f t="shared" si="30"/>
        <v>1016.8</v>
      </c>
      <c r="AI28" s="331">
        <f t="shared" si="31"/>
        <v>0.2267880888</v>
      </c>
      <c r="AJ28" s="332">
        <v>7820.0</v>
      </c>
      <c r="AK28" s="331">
        <f t="shared" si="32"/>
        <v>1773.482854</v>
      </c>
      <c r="AL28" s="335"/>
      <c r="AM28" s="158"/>
      <c r="AN28" s="158"/>
      <c r="AO28" s="158"/>
    </row>
    <row r="29">
      <c r="B29" s="330" t="s">
        <v>384</v>
      </c>
      <c r="C29" s="331"/>
      <c r="D29" s="332">
        <v>6.0</v>
      </c>
      <c r="E29" s="333">
        <v>508.4</v>
      </c>
      <c r="F29" s="333">
        <v>508.4</v>
      </c>
      <c r="G29" s="334">
        <f t="shared" si="23"/>
        <v>1016.8</v>
      </c>
      <c r="H29" s="332">
        <v>477.1425</v>
      </c>
      <c r="I29" s="332">
        <v>535.8375</v>
      </c>
      <c r="J29" s="331">
        <f t="shared" si="24"/>
        <v>58.695</v>
      </c>
      <c r="K29" s="333">
        <f>399.1-0.45-0.55</f>
        <v>398.1</v>
      </c>
      <c r="L29" s="333">
        <f>400.9+0.45+0.55</f>
        <v>401.9</v>
      </c>
      <c r="M29" s="332">
        <f t="shared" si="25"/>
        <v>3.8</v>
      </c>
      <c r="N29" s="331">
        <f t="shared" si="26"/>
        <v>0.2267880888</v>
      </c>
      <c r="O29" s="332">
        <v>7820.0</v>
      </c>
      <c r="P29" s="331">
        <f t="shared" si="27"/>
        <v>1773.482854</v>
      </c>
      <c r="Q29" s="335"/>
      <c r="S29" s="319" t="s">
        <v>385</v>
      </c>
      <c r="T29" s="319" t="s">
        <v>375</v>
      </c>
      <c r="W29" s="330" t="s">
        <v>385</v>
      </c>
      <c r="X29" s="331"/>
      <c r="Y29" s="332">
        <v>6.0</v>
      </c>
      <c r="Z29" s="332">
        <f>-400.9-0.45-0.55</f>
        <v>-401.9</v>
      </c>
      <c r="AA29" s="332">
        <f>-399.1+0.45+0.55</f>
        <v>-398.1</v>
      </c>
      <c r="AB29" s="332">
        <f t="shared" si="28"/>
        <v>3.8</v>
      </c>
      <c r="AC29" s="332">
        <v>477.1425</v>
      </c>
      <c r="AD29" s="332">
        <v>535.8375</v>
      </c>
      <c r="AE29" s="331">
        <f t="shared" si="29"/>
        <v>58.695</v>
      </c>
      <c r="AF29" s="332">
        <v>508.4</v>
      </c>
      <c r="AG29" s="332">
        <v>508.4</v>
      </c>
      <c r="AH29" s="331">
        <f t="shared" si="30"/>
        <v>1016.8</v>
      </c>
      <c r="AI29" s="331">
        <f t="shared" si="31"/>
        <v>0.2267880888</v>
      </c>
      <c r="AJ29" s="332">
        <v>7820.0</v>
      </c>
      <c r="AK29" s="331">
        <f t="shared" si="32"/>
        <v>1773.482854</v>
      </c>
      <c r="AL29" s="335"/>
      <c r="AM29" s="158"/>
      <c r="AN29" s="158"/>
      <c r="AO29" s="158"/>
    </row>
    <row r="30">
      <c r="B30" s="336"/>
      <c r="C30" s="331"/>
      <c r="D30" s="332" t="s">
        <v>294</v>
      </c>
      <c r="E30" s="331"/>
      <c r="F30" s="331"/>
      <c r="G30" s="331"/>
      <c r="H30" s="331"/>
      <c r="I30" s="331"/>
      <c r="J30" s="331"/>
      <c r="K30" s="331"/>
      <c r="L30" s="331"/>
      <c r="M30" s="331"/>
      <c r="N30" s="331">
        <f>SUM(N24:N29)</f>
        <v>1.360728533</v>
      </c>
      <c r="O30" s="331"/>
      <c r="P30" s="331">
        <f>SUM(P24:P29)</f>
        <v>10640.89713</v>
      </c>
      <c r="Q30" s="335"/>
      <c r="S30" s="321"/>
      <c r="T30" s="321"/>
      <c r="U30" s="321"/>
      <c r="V30" s="321"/>
      <c r="W30" s="336"/>
      <c r="X30" s="331"/>
      <c r="Y30" s="332" t="s">
        <v>294</v>
      </c>
      <c r="Z30" s="331"/>
      <c r="AA30" s="331"/>
      <c r="AB30" s="331"/>
      <c r="AC30" s="331"/>
      <c r="AD30" s="331"/>
      <c r="AE30" s="331"/>
      <c r="AF30" s="331"/>
      <c r="AG30" s="331"/>
      <c r="AH30" s="331"/>
      <c r="AI30" s="331">
        <f>SUM(AI24:AI29)</f>
        <v>1.360728533</v>
      </c>
      <c r="AJ30" s="331"/>
      <c r="AK30" s="331">
        <f>SUM(AK24:AK29)</f>
        <v>10640.89713</v>
      </c>
      <c r="AL30" s="335"/>
      <c r="AM30" s="158">
        <f>AI30+N30</f>
        <v>2.721457066</v>
      </c>
      <c r="AN30" s="158"/>
      <c r="AO30" s="158"/>
    </row>
    <row r="31">
      <c r="B31" s="336"/>
      <c r="C31" s="331"/>
      <c r="D31" s="331"/>
      <c r="E31" s="331"/>
      <c r="F31" s="331"/>
      <c r="G31" s="331"/>
      <c r="H31" s="331"/>
      <c r="I31" s="331"/>
      <c r="J31" s="331"/>
      <c r="K31" s="331"/>
      <c r="L31" s="331"/>
      <c r="M31" s="331"/>
      <c r="N31" s="331"/>
      <c r="O31" s="331"/>
      <c r="P31" s="331">
        <f>P30/1000</f>
        <v>10.64089713</v>
      </c>
      <c r="Q31" s="337" t="s">
        <v>371</v>
      </c>
      <c r="S31" s="321"/>
      <c r="T31" s="321"/>
      <c r="U31" s="321"/>
      <c r="V31" s="321"/>
      <c r="W31" s="336"/>
      <c r="X31" s="331"/>
      <c r="Y31" s="331"/>
      <c r="Z31" s="331"/>
      <c r="AA31" s="331"/>
      <c r="AB31" s="331"/>
      <c r="AC31" s="331"/>
      <c r="AD31" s="331"/>
      <c r="AE31" s="331"/>
      <c r="AF31" s="331"/>
      <c r="AG31" s="331"/>
      <c r="AH31" s="331"/>
      <c r="AI31" s="331"/>
      <c r="AJ31" s="331"/>
      <c r="AK31" s="331">
        <f>AK30/1000</f>
        <v>10.64089713</v>
      </c>
      <c r="AL31" s="337" t="s">
        <v>371</v>
      </c>
      <c r="AM31" s="307"/>
      <c r="AN31" s="307"/>
      <c r="AO31" s="307"/>
    </row>
    <row r="32">
      <c r="B32" s="336"/>
      <c r="C32" s="331"/>
      <c r="D32" s="331"/>
      <c r="E32" s="331"/>
      <c r="F32" s="331"/>
      <c r="G32" s="331"/>
      <c r="H32" s="331"/>
      <c r="I32" s="331"/>
      <c r="J32" s="331"/>
      <c r="K32" s="331"/>
      <c r="L32" s="331"/>
      <c r="M32" s="331"/>
      <c r="N32" s="331"/>
      <c r="O32" s="331"/>
      <c r="P32" s="331"/>
      <c r="Q32" s="337"/>
      <c r="S32" s="321"/>
      <c r="T32" s="321"/>
      <c r="U32" s="321"/>
      <c r="V32" s="321"/>
      <c r="W32" s="336"/>
      <c r="X32" s="331"/>
      <c r="Y32" s="331"/>
      <c r="Z32" s="331"/>
      <c r="AA32" s="331"/>
      <c r="AB32" s="331"/>
      <c r="AC32" s="331"/>
      <c r="AD32" s="331"/>
      <c r="AE32" s="331"/>
      <c r="AF32" s="331"/>
      <c r="AG32" s="331"/>
      <c r="AH32" s="331"/>
      <c r="AI32" s="331"/>
      <c r="AJ32" s="331"/>
      <c r="AK32" s="331"/>
      <c r="AL32" s="337"/>
      <c r="AM32" s="307"/>
      <c r="AN32" s="307"/>
      <c r="AO32" s="307"/>
    </row>
    <row r="33">
      <c r="B33" s="338" t="s">
        <v>330</v>
      </c>
      <c r="C33" s="332" t="s">
        <v>386</v>
      </c>
      <c r="D33" s="332" t="s">
        <v>332</v>
      </c>
      <c r="E33" s="332" t="s">
        <v>333</v>
      </c>
      <c r="F33" s="332" t="s">
        <v>334</v>
      </c>
      <c r="G33" s="332" t="s">
        <v>335</v>
      </c>
      <c r="H33" s="332" t="s">
        <v>336</v>
      </c>
      <c r="I33" s="332" t="s">
        <v>337</v>
      </c>
      <c r="J33" s="332" t="s">
        <v>338</v>
      </c>
      <c r="K33" s="332" t="s">
        <v>339</v>
      </c>
      <c r="L33" s="332" t="s">
        <v>340</v>
      </c>
      <c r="M33" s="332" t="s">
        <v>341</v>
      </c>
      <c r="N33" s="332" t="s">
        <v>235</v>
      </c>
      <c r="O33" s="332" t="s">
        <v>342</v>
      </c>
      <c r="P33" s="332" t="s">
        <v>229</v>
      </c>
      <c r="Q33" s="335"/>
      <c r="S33" s="321"/>
      <c r="T33" s="321"/>
      <c r="U33" s="321"/>
      <c r="V33" s="321"/>
      <c r="W33" s="338" t="s">
        <v>330</v>
      </c>
      <c r="X33" s="332" t="s">
        <v>386</v>
      </c>
      <c r="Y33" s="332" t="s">
        <v>332</v>
      </c>
      <c r="Z33" s="332" t="s">
        <v>333</v>
      </c>
      <c r="AA33" s="332" t="s">
        <v>334</v>
      </c>
      <c r="AB33" s="332" t="s">
        <v>335</v>
      </c>
      <c r="AC33" s="332" t="s">
        <v>336</v>
      </c>
      <c r="AD33" s="332" t="s">
        <v>337</v>
      </c>
      <c r="AE33" s="332" t="s">
        <v>338</v>
      </c>
      <c r="AF33" s="332" t="s">
        <v>339</v>
      </c>
      <c r="AG33" s="332" t="s">
        <v>340</v>
      </c>
      <c r="AH33" s="332" t="s">
        <v>341</v>
      </c>
      <c r="AI33" s="332" t="s">
        <v>235</v>
      </c>
      <c r="AJ33" s="332" t="s">
        <v>342</v>
      </c>
      <c r="AK33" s="332" t="s">
        <v>229</v>
      </c>
      <c r="AL33" s="335"/>
      <c r="AM33" s="158"/>
      <c r="AN33" s="158"/>
      <c r="AO33" s="158"/>
    </row>
    <row r="34">
      <c r="B34" s="330" t="s">
        <v>387</v>
      </c>
      <c r="C34" s="331"/>
      <c r="D34" s="332">
        <v>1.0</v>
      </c>
      <c r="E34" s="333">
        <v>508.4</v>
      </c>
      <c r="F34" s="333">
        <v>508.4</v>
      </c>
      <c r="G34" s="334">
        <f t="shared" ref="G34:G39" si="33">SUM(E34:F34)</f>
        <v>1016.8</v>
      </c>
      <c r="H34" s="332">
        <f t="shared" ref="H34:H39" si="34">-535-0.8375</f>
        <v>-535.8375</v>
      </c>
      <c r="I34" s="332">
        <f t="shared" ref="I34:I39" si="35">-477.1425</f>
        <v>-477.1425</v>
      </c>
      <c r="J34" s="331">
        <f t="shared" ref="J34:J39" si="36">I34-H34</f>
        <v>58.695</v>
      </c>
      <c r="K34" s="333">
        <f>-400.9-0.45-0.55</f>
        <v>-401.9</v>
      </c>
      <c r="L34" s="333">
        <f>-399.1+0.45+0.55</f>
        <v>-398.1</v>
      </c>
      <c r="M34" s="332">
        <f t="shared" ref="M34:M39" si="37">L34-K34</f>
        <v>3.8</v>
      </c>
      <c r="N34" s="331">
        <f t="shared" ref="N34:N39" si="38">(G34*J34*M34)/1000000</f>
        <v>0.2267880888</v>
      </c>
      <c r="O34" s="332">
        <v>7820.0</v>
      </c>
      <c r="P34" s="331">
        <f t="shared" ref="P34:P39" si="39">N34*O34</f>
        <v>1773.482854</v>
      </c>
      <c r="Q34" s="335"/>
      <c r="S34" s="319" t="s">
        <v>388</v>
      </c>
      <c r="T34" s="319" t="s">
        <v>389</v>
      </c>
      <c r="W34" s="330" t="s">
        <v>388</v>
      </c>
      <c r="X34" s="331"/>
      <c r="Y34" s="332">
        <v>1.0</v>
      </c>
      <c r="Z34" s="332">
        <f>399.1-0.45-0.55</f>
        <v>398.1</v>
      </c>
      <c r="AA34" s="332">
        <f>400.9+0.45+0.55</f>
        <v>401.9</v>
      </c>
      <c r="AB34" s="332">
        <f t="shared" ref="AB34:AB39" si="40">AA34-Z34</f>
        <v>3.8</v>
      </c>
      <c r="AC34" s="332">
        <v>-535.8375</v>
      </c>
      <c r="AD34" s="332">
        <f t="shared" ref="AD34:AD39" si="41">-477.1425</f>
        <v>-477.1425</v>
      </c>
      <c r="AE34" s="331">
        <f t="shared" ref="AE34:AE39" si="42">AD34-AC34</f>
        <v>58.695</v>
      </c>
      <c r="AF34" s="333">
        <v>508.4</v>
      </c>
      <c r="AG34" s="333">
        <v>508.4</v>
      </c>
      <c r="AH34" s="331">
        <f t="shared" ref="AH34:AH39" si="43">AG34+AF34</f>
        <v>1016.8</v>
      </c>
      <c r="AI34" s="331">
        <f t="shared" ref="AI34:AI39" si="44">(AB34*AE34*AH34)/1000000</f>
        <v>0.2267880888</v>
      </c>
      <c r="AJ34" s="332">
        <v>7820.0</v>
      </c>
      <c r="AK34" s="331">
        <f t="shared" ref="AK34:AK39" si="45">AI34*AJ34</f>
        <v>1773.482854</v>
      </c>
      <c r="AL34" s="335"/>
      <c r="AM34" s="158"/>
      <c r="AN34" s="158"/>
      <c r="AO34" s="158"/>
    </row>
    <row r="35">
      <c r="B35" s="330" t="s">
        <v>390</v>
      </c>
      <c r="C35" s="331"/>
      <c r="D35" s="332">
        <v>2.0</v>
      </c>
      <c r="E35" s="333">
        <v>508.4</v>
      </c>
      <c r="F35" s="333">
        <v>508.4</v>
      </c>
      <c r="G35" s="334">
        <f t="shared" si="33"/>
        <v>1016.8</v>
      </c>
      <c r="H35" s="332">
        <f t="shared" si="34"/>
        <v>-535.8375</v>
      </c>
      <c r="I35" s="332">
        <f t="shared" si="35"/>
        <v>-477.1425</v>
      </c>
      <c r="J35" s="331">
        <f t="shared" si="36"/>
        <v>58.695</v>
      </c>
      <c r="K35" s="333">
        <f>-240.9-0.45-0.55</f>
        <v>-241.9</v>
      </c>
      <c r="L35" s="333">
        <f>-239.1+0.45+0.55</f>
        <v>-238.1</v>
      </c>
      <c r="M35" s="332">
        <f t="shared" si="37"/>
        <v>3.8</v>
      </c>
      <c r="N35" s="331">
        <f t="shared" si="38"/>
        <v>0.2267880888</v>
      </c>
      <c r="O35" s="332">
        <v>7820.0</v>
      </c>
      <c r="P35" s="331">
        <f t="shared" si="39"/>
        <v>1773.482854</v>
      </c>
      <c r="Q35" s="335"/>
      <c r="S35" s="319" t="s">
        <v>391</v>
      </c>
      <c r="T35" s="319" t="s">
        <v>389</v>
      </c>
      <c r="W35" s="330" t="s">
        <v>391</v>
      </c>
      <c r="X35" s="331"/>
      <c r="Y35" s="332">
        <v>2.0</v>
      </c>
      <c r="Z35" s="332">
        <f>239.1-0.45-0.55</f>
        <v>238.1</v>
      </c>
      <c r="AA35" s="332">
        <f>240.9+0.45+0.55</f>
        <v>241.9</v>
      </c>
      <c r="AB35" s="332">
        <f t="shared" si="40"/>
        <v>3.8</v>
      </c>
      <c r="AC35" s="332">
        <v>-535.8375</v>
      </c>
      <c r="AD35" s="332">
        <f t="shared" si="41"/>
        <v>-477.1425</v>
      </c>
      <c r="AE35" s="331">
        <f t="shared" si="42"/>
        <v>58.695</v>
      </c>
      <c r="AF35" s="333">
        <v>508.4</v>
      </c>
      <c r="AG35" s="333">
        <v>508.4</v>
      </c>
      <c r="AH35" s="331">
        <f t="shared" si="43"/>
        <v>1016.8</v>
      </c>
      <c r="AI35" s="331">
        <f t="shared" si="44"/>
        <v>0.2267880888</v>
      </c>
      <c r="AJ35" s="332">
        <v>7820.0</v>
      </c>
      <c r="AK35" s="331">
        <f t="shared" si="45"/>
        <v>1773.482854</v>
      </c>
      <c r="AL35" s="335"/>
      <c r="AM35" s="158"/>
      <c r="AN35" s="158"/>
      <c r="AO35" s="158"/>
    </row>
    <row r="36">
      <c r="B36" s="330" t="s">
        <v>392</v>
      </c>
      <c r="C36" s="331"/>
      <c r="D36" s="332">
        <v>3.0</v>
      </c>
      <c r="E36" s="333">
        <v>508.4</v>
      </c>
      <c r="F36" s="333">
        <v>508.4</v>
      </c>
      <c r="G36" s="334">
        <f t="shared" si="33"/>
        <v>1016.8</v>
      </c>
      <c r="H36" s="332">
        <f t="shared" si="34"/>
        <v>-535.8375</v>
      </c>
      <c r="I36" s="332">
        <f t="shared" si="35"/>
        <v>-477.1425</v>
      </c>
      <c r="J36" s="331">
        <f t="shared" si="36"/>
        <v>58.695</v>
      </c>
      <c r="K36" s="333">
        <f>-80.9-0.45-0.55</f>
        <v>-81.9</v>
      </c>
      <c r="L36" s="333">
        <f>-79.1+0.45+0.55</f>
        <v>-78.1</v>
      </c>
      <c r="M36" s="332">
        <f t="shared" si="37"/>
        <v>3.8</v>
      </c>
      <c r="N36" s="331">
        <f t="shared" si="38"/>
        <v>0.2267880888</v>
      </c>
      <c r="O36" s="332">
        <v>7820.0</v>
      </c>
      <c r="P36" s="331">
        <f t="shared" si="39"/>
        <v>1773.482854</v>
      </c>
      <c r="Q36" s="335"/>
      <c r="S36" s="319" t="s">
        <v>393</v>
      </c>
      <c r="T36" s="319" t="s">
        <v>389</v>
      </c>
      <c r="W36" s="330" t="s">
        <v>393</v>
      </c>
      <c r="X36" s="331"/>
      <c r="Y36" s="332">
        <v>3.0</v>
      </c>
      <c r="Z36" s="332">
        <f>79.1-0.45-0.55</f>
        <v>78.1</v>
      </c>
      <c r="AA36" s="332">
        <f>80.9+0.45+0.55</f>
        <v>81.9</v>
      </c>
      <c r="AB36" s="332">
        <f t="shared" si="40"/>
        <v>3.8</v>
      </c>
      <c r="AC36" s="332">
        <v>-535.8375</v>
      </c>
      <c r="AD36" s="332">
        <f t="shared" si="41"/>
        <v>-477.1425</v>
      </c>
      <c r="AE36" s="331">
        <f t="shared" si="42"/>
        <v>58.695</v>
      </c>
      <c r="AF36" s="333">
        <v>508.4</v>
      </c>
      <c r="AG36" s="333">
        <v>508.4</v>
      </c>
      <c r="AH36" s="331">
        <f t="shared" si="43"/>
        <v>1016.8</v>
      </c>
      <c r="AI36" s="331">
        <f t="shared" si="44"/>
        <v>0.2267880888</v>
      </c>
      <c r="AJ36" s="332">
        <v>7820.0</v>
      </c>
      <c r="AK36" s="331">
        <f t="shared" si="45"/>
        <v>1773.482854</v>
      </c>
      <c r="AL36" s="335"/>
      <c r="AM36" s="158"/>
      <c r="AN36" s="158"/>
      <c r="AO36" s="158"/>
    </row>
    <row r="37">
      <c r="B37" s="330" t="s">
        <v>394</v>
      </c>
      <c r="C37" s="331"/>
      <c r="D37" s="332">
        <v>4.0</v>
      </c>
      <c r="E37" s="333">
        <v>508.4</v>
      </c>
      <c r="F37" s="333">
        <v>508.4</v>
      </c>
      <c r="G37" s="334">
        <f t="shared" si="33"/>
        <v>1016.8</v>
      </c>
      <c r="H37" s="332">
        <f t="shared" si="34"/>
        <v>-535.8375</v>
      </c>
      <c r="I37" s="332">
        <f t="shared" si="35"/>
        <v>-477.1425</v>
      </c>
      <c r="J37" s="331">
        <f t="shared" si="36"/>
        <v>58.695</v>
      </c>
      <c r="K37" s="333">
        <f>79.1-0.45-0.55</f>
        <v>78.1</v>
      </c>
      <c r="L37" s="333">
        <f>80.9+0.45+0.55</f>
        <v>81.9</v>
      </c>
      <c r="M37" s="332">
        <f t="shared" si="37"/>
        <v>3.8</v>
      </c>
      <c r="N37" s="331">
        <f t="shared" si="38"/>
        <v>0.2267880888</v>
      </c>
      <c r="O37" s="332">
        <v>7820.0</v>
      </c>
      <c r="P37" s="331">
        <f t="shared" si="39"/>
        <v>1773.482854</v>
      </c>
      <c r="Q37" s="335"/>
      <c r="S37" s="319" t="s">
        <v>395</v>
      </c>
      <c r="T37" s="319" t="s">
        <v>389</v>
      </c>
      <c r="W37" s="330" t="s">
        <v>395</v>
      </c>
      <c r="X37" s="331"/>
      <c r="Y37" s="332">
        <v>4.0</v>
      </c>
      <c r="Z37" s="332">
        <f>-80.9-0.45-0.55</f>
        <v>-81.9</v>
      </c>
      <c r="AA37" s="332">
        <f>-79.1+0.45+0.55</f>
        <v>-78.1</v>
      </c>
      <c r="AB37" s="332">
        <f t="shared" si="40"/>
        <v>3.8</v>
      </c>
      <c r="AC37" s="332">
        <v>-535.8375</v>
      </c>
      <c r="AD37" s="332">
        <f t="shared" si="41"/>
        <v>-477.1425</v>
      </c>
      <c r="AE37" s="331">
        <f t="shared" si="42"/>
        <v>58.695</v>
      </c>
      <c r="AF37" s="333">
        <v>508.4</v>
      </c>
      <c r="AG37" s="333">
        <v>508.4</v>
      </c>
      <c r="AH37" s="331">
        <f t="shared" si="43"/>
        <v>1016.8</v>
      </c>
      <c r="AI37" s="331">
        <f t="shared" si="44"/>
        <v>0.2267880888</v>
      </c>
      <c r="AJ37" s="332">
        <v>7820.0</v>
      </c>
      <c r="AK37" s="331">
        <f t="shared" si="45"/>
        <v>1773.482854</v>
      </c>
      <c r="AL37" s="335"/>
      <c r="AM37" s="158"/>
      <c r="AN37" s="158"/>
      <c r="AO37" s="158"/>
    </row>
    <row r="38">
      <c r="B38" s="330" t="s">
        <v>396</v>
      </c>
      <c r="C38" s="331"/>
      <c r="D38" s="332">
        <v>5.0</v>
      </c>
      <c r="E38" s="333">
        <v>508.4</v>
      </c>
      <c r="F38" s="333">
        <v>508.4</v>
      </c>
      <c r="G38" s="334">
        <f t="shared" si="33"/>
        <v>1016.8</v>
      </c>
      <c r="H38" s="332">
        <f t="shared" si="34"/>
        <v>-535.8375</v>
      </c>
      <c r="I38" s="332">
        <f t="shared" si="35"/>
        <v>-477.1425</v>
      </c>
      <c r="J38" s="331">
        <f t="shared" si="36"/>
        <v>58.695</v>
      </c>
      <c r="K38" s="333">
        <f>239.1-0.45-0.55</f>
        <v>238.1</v>
      </c>
      <c r="L38" s="333">
        <f>240.9+0.45+0.55</f>
        <v>241.9</v>
      </c>
      <c r="M38" s="332">
        <f t="shared" si="37"/>
        <v>3.8</v>
      </c>
      <c r="N38" s="331">
        <f t="shared" si="38"/>
        <v>0.2267880888</v>
      </c>
      <c r="O38" s="332">
        <v>7820.0</v>
      </c>
      <c r="P38" s="331">
        <f t="shared" si="39"/>
        <v>1773.482854</v>
      </c>
      <c r="Q38" s="335"/>
      <c r="S38" s="319" t="s">
        <v>397</v>
      </c>
      <c r="T38" s="319" t="s">
        <v>389</v>
      </c>
      <c r="W38" s="330" t="s">
        <v>397</v>
      </c>
      <c r="X38" s="331"/>
      <c r="Y38" s="332">
        <v>5.0</v>
      </c>
      <c r="Z38" s="332">
        <f>-240.9-0.45-0.55</f>
        <v>-241.9</v>
      </c>
      <c r="AA38" s="332">
        <f>-239.1+0.45+0.55</f>
        <v>-238.1</v>
      </c>
      <c r="AB38" s="332">
        <f t="shared" si="40"/>
        <v>3.8</v>
      </c>
      <c r="AC38" s="332">
        <v>-535.8375</v>
      </c>
      <c r="AD38" s="332">
        <f t="shared" si="41"/>
        <v>-477.1425</v>
      </c>
      <c r="AE38" s="331">
        <f t="shared" si="42"/>
        <v>58.695</v>
      </c>
      <c r="AF38" s="333">
        <v>508.4</v>
      </c>
      <c r="AG38" s="333">
        <v>508.4</v>
      </c>
      <c r="AH38" s="331">
        <f t="shared" si="43"/>
        <v>1016.8</v>
      </c>
      <c r="AI38" s="331">
        <f t="shared" si="44"/>
        <v>0.2267880888</v>
      </c>
      <c r="AJ38" s="332">
        <v>7820.0</v>
      </c>
      <c r="AK38" s="331">
        <f t="shared" si="45"/>
        <v>1773.482854</v>
      </c>
      <c r="AL38" s="335"/>
      <c r="AM38" s="158"/>
      <c r="AN38" s="158"/>
      <c r="AO38" s="158"/>
    </row>
    <row r="39">
      <c r="B39" s="330" t="s">
        <v>398</v>
      </c>
      <c r="C39" s="331"/>
      <c r="D39" s="332">
        <v>6.0</v>
      </c>
      <c r="E39" s="333">
        <v>508.4</v>
      </c>
      <c r="F39" s="333">
        <v>508.4</v>
      </c>
      <c r="G39" s="334">
        <f t="shared" si="33"/>
        <v>1016.8</v>
      </c>
      <c r="H39" s="332">
        <f t="shared" si="34"/>
        <v>-535.8375</v>
      </c>
      <c r="I39" s="332">
        <f t="shared" si="35"/>
        <v>-477.1425</v>
      </c>
      <c r="J39" s="331">
        <f t="shared" si="36"/>
        <v>58.695</v>
      </c>
      <c r="K39" s="333">
        <f>399.1-0.45-0.55</f>
        <v>398.1</v>
      </c>
      <c r="L39" s="333">
        <f>400.9+0.45+0.55</f>
        <v>401.9</v>
      </c>
      <c r="M39" s="332">
        <f t="shared" si="37"/>
        <v>3.8</v>
      </c>
      <c r="N39" s="331">
        <f t="shared" si="38"/>
        <v>0.2267880888</v>
      </c>
      <c r="O39" s="332">
        <v>7820.0</v>
      </c>
      <c r="P39" s="331">
        <f t="shared" si="39"/>
        <v>1773.482854</v>
      </c>
      <c r="Q39" s="335"/>
      <c r="S39" s="319" t="s">
        <v>399</v>
      </c>
      <c r="T39" s="319" t="s">
        <v>389</v>
      </c>
      <c r="W39" s="330" t="s">
        <v>399</v>
      </c>
      <c r="X39" s="331"/>
      <c r="Y39" s="332">
        <v>6.0</v>
      </c>
      <c r="Z39" s="332">
        <f>-400.9-0.45-0.55</f>
        <v>-401.9</v>
      </c>
      <c r="AA39" s="332">
        <f>-399.1+0.45+0.55</f>
        <v>-398.1</v>
      </c>
      <c r="AB39" s="332">
        <f t="shared" si="40"/>
        <v>3.8</v>
      </c>
      <c r="AC39" s="332">
        <v>-535.8375</v>
      </c>
      <c r="AD39" s="332">
        <f t="shared" si="41"/>
        <v>-477.1425</v>
      </c>
      <c r="AE39" s="331">
        <f t="shared" si="42"/>
        <v>58.695</v>
      </c>
      <c r="AF39" s="333">
        <v>508.4</v>
      </c>
      <c r="AG39" s="333">
        <v>508.4</v>
      </c>
      <c r="AH39" s="331">
        <f t="shared" si="43"/>
        <v>1016.8</v>
      </c>
      <c r="AI39" s="331">
        <f t="shared" si="44"/>
        <v>0.2267880888</v>
      </c>
      <c r="AJ39" s="332">
        <v>7820.0</v>
      </c>
      <c r="AK39" s="331">
        <f t="shared" si="45"/>
        <v>1773.482854</v>
      </c>
      <c r="AL39" s="335"/>
      <c r="AM39" s="158"/>
      <c r="AN39" s="158"/>
      <c r="AO39" s="158"/>
    </row>
    <row r="40">
      <c r="B40" s="336"/>
      <c r="C40" s="331"/>
      <c r="D40" s="332" t="s">
        <v>294</v>
      </c>
      <c r="E40" s="331"/>
      <c r="F40" s="331"/>
      <c r="G40" s="331"/>
      <c r="H40" s="331"/>
      <c r="I40" s="331"/>
      <c r="J40" s="331"/>
      <c r="K40" s="331"/>
      <c r="L40" s="331"/>
      <c r="M40" s="331"/>
      <c r="N40" s="331">
        <f>SUM(N34:N39)</f>
        <v>1.360728533</v>
      </c>
      <c r="O40" s="331"/>
      <c r="P40" s="331">
        <f>SUM(P34:P39)</f>
        <v>10640.89713</v>
      </c>
      <c r="Q40" s="335"/>
      <c r="S40" s="321"/>
      <c r="T40" s="321"/>
      <c r="U40" s="321"/>
      <c r="V40" s="321"/>
      <c r="W40" s="336"/>
      <c r="X40" s="331"/>
      <c r="Y40" s="332" t="s">
        <v>294</v>
      </c>
      <c r="Z40" s="331"/>
      <c r="AA40" s="331"/>
      <c r="AB40" s="331"/>
      <c r="AC40" s="331"/>
      <c r="AD40" s="331"/>
      <c r="AE40" s="331"/>
      <c r="AF40" s="331"/>
      <c r="AG40" s="331"/>
      <c r="AH40" s="331"/>
      <c r="AI40" s="331">
        <f>SUM(AI34:AI39)</f>
        <v>1.360728533</v>
      </c>
      <c r="AJ40" s="331"/>
      <c r="AK40" s="331">
        <f>SUM(AK34:AK39)</f>
        <v>10640.89713</v>
      </c>
      <c r="AL40" s="335"/>
      <c r="AM40" s="158">
        <f>AI40+N40</f>
        <v>2.721457066</v>
      </c>
      <c r="AN40" s="158"/>
      <c r="AO40" s="158"/>
    </row>
    <row r="41">
      <c r="B41" s="339"/>
      <c r="C41" s="340"/>
      <c r="D41" s="340"/>
      <c r="E41" s="340"/>
      <c r="F41" s="340"/>
      <c r="G41" s="340"/>
      <c r="H41" s="340"/>
      <c r="I41" s="340"/>
      <c r="J41" s="340"/>
      <c r="K41" s="340"/>
      <c r="L41" s="340"/>
      <c r="M41" s="340"/>
      <c r="N41" s="340"/>
      <c r="O41" s="340"/>
      <c r="P41" s="340">
        <f>P40/1000</f>
        <v>10.64089713</v>
      </c>
      <c r="Q41" s="341" t="s">
        <v>371</v>
      </c>
      <c r="S41" s="321"/>
      <c r="T41" s="321"/>
      <c r="U41" s="321"/>
      <c r="V41" s="321"/>
      <c r="W41" s="339"/>
      <c r="X41" s="340"/>
      <c r="Y41" s="340"/>
      <c r="Z41" s="340"/>
      <c r="AA41" s="340"/>
      <c r="AB41" s="340"/>
      <c r="AC41" s="340"/>
      <c r="AD41" s="340"/>
      <c r="AE41" s="340"/>
      <c r="AF41" s="340"/>
      <c r="AG41" s="340"/>
      <c r="AH41" s="340"/>
      <c r="AI41" s="340"/>
      <c r="AJ41" s="340"/>
      <c r="AK41" s="340">
        <f>AK40/1000</f>
        <v>10.64089713</v>
      </c>
      <c r="AL41" s="341" t="s">
        <v>371</v>
      </c>
      <c r="AM41" s="307"/>
      <c r="AN41" s="307"/>
      <c r="AO41" s="307"/>
    </row>
    <row r="42">
      <c r="S42" s="321"/>
      <c r="T42" s="321"/>
      <c r="U42" s="321"/>
      <c r="V42" s="321"/>
      <c r="AM42" s="158"/>
      <c r="AN42" s="158"/>
      <c r="AO42" s="158"/>
    </row>
    <row r="43">
      <c r="B43" s="342" t="s">
        <v>330</v>
      </c>
      <c r="C43" s="343" t="s">
        <v>400</v>
      </c>
      <c r="D43" s="343" t="s">
        <v>332</v>
      </c>
      <c r="E43" s="343" t="s">
        <v>333</v>
      </c>
      <c r="F43" s="343" t="s">
        <v>334</v>
      </c>
      <c r="G43" s="343" t="s">
        <v>335</v>
      </c>
      <c r="H43" s="343" t="s">
        <v>336</v>
      </c>
      <c r="I43" s="343" t="s">
        <v>337</v>
      </c>
      <c r="J43" s="343" t="s">
        <v>338</v>
      </c>
      <c r="K43" s="343" t="s">
        <v>339</v>
      </c>
      <c r="L43" s="343" t="s">
        <v>340</v>
      </c>
      <c r="M43" s="343" t="s">
        <v>341</v>
      </c>
      <c r="N43" s="343" t="s">
        <v>235</v>
      </c>
      <c r="O43" s="343" t="s">
        <v>342</v>
      </c>
      <c r="P43" s="343" t="s">
        <v>229</v>
      </c>
      <c r="Q43" s="344"/>
      <c r="S43" s="319" t="s">
        <v>401</v>
      </c>
      <c r="T43" s="319" t="s">
        <v>402</v>
      </c>
      <c r="U43" s="321"/>
      <c r="V43" s="321"/>
      <c r="W43" s="342" t="s">
        <v>330</v>
      </c>
      <c r="X43" s="343" t="s">
        <v>400</v>
      </c>
      <c r="Y43" s="343" t="s">
        <v>332</v>
      </c>
      <c r="Z43" s="343" t="s">
        <v>333</v>
      </c>
      <c r="AA43" s="343" t="s">
        <v>334</v>
      </c>
      <c r="AB43" s="343" t="s">
        <v>335</v>
      </c>
      <c r="AC43" s="343" t="s">
        <v>336</v>
      </c>
      <c r="AD43" s="343" t="s">
        <v>337</v>
      </c>
      <c r="AE43" s="343" t="s">
        <v>338</v>
      </c>
      <c r="AF43" s="343" t="s">
        <v>339</v>
      </c>
      <c r="AG43" s="343" t="s">
        <v>340</v>
      </c>
      <c r="AH43" s="343" t="s">
        <v>341</v>
      </c>
      <c r="AI43" s="343" t="s">
        <v>235</v>
      </c>
      <c r="AJ43" s="343" t="s">
        <v>342</v>
      </c>
      <c r="AK43" s="343" t="s">
        <v>229</v>
      </c>
      <c r="AL43" s="344"/>
      <c r="AM43" s="158"/>
      <c r="AN43" s="158"/>
      <c r="AO43" s="158"/>
    </row>
    <row r="44">
      <c r="B44" s="345" t="s">
        <v>403</v>
      </c>
      <c r="C44" s="346"/>
      <c r="D44" s="347">
        <v>1.0</v>
      </c>
      <c r="E44" s="348">
        <v>510.9875</v>
      </c>
      <c r="F44" s="348">
        <v>567.4</v>
      </c>
      <c r="G44" s="349">
        <f t="shared" ref="G44:G47" si="46">F44-E44</f>
        <v>56.4125</v>
      </c>
      <c r="H44" s="347">
        <v>535.0</v>
      </c>
      <c r="I44" s="347">
        <v>535.0</v>
      </c>
      <c r="J44" s="346">
        <f t="shared" ref="J44:J49" si="47">I44+H44</f>
        <v>1070</v>
      </c>
      <c r="K44" s="347">
        <f>399.1-0.45-0.55</f>
        <v>398.1</v>
      </c>
      <c r="L44" s="347">
        <f>400.9+0.45+0.55</f>
        <v>401.9</v>
      </c>
      <c r="M44" s="347">
        <f t="shared" ref="M44:M49" si="48">L44-K44</f>
        <v>3.8</v>
      </c>
      <c r="N44" s="346">
        <f t="shared" ref="N44:N49" si="49">(G44*J44*M44)/1000000</f>
        <v>0.229373225</v>
      </c>
      <c r="O44" s="347">
        <v>7820.0</v>
      </c>
      <c r="P44" s="346">
        <f t="shared" ref="P44:P49" si="50">N44*O44</f>
        <v>1793.698619</v>
      </c>
      <c r="Q44" s="350"/>
      <c r="S44" s="319" t="s">
        <v>404</v>
      </c>
      <c r="T44" s="319" t="s">
        <v>405</v>
      </c>
      <c r="W44" s="345" t="s">
        <v>404</v>
      </c>
      <c r="X44" s="346"/>
      <c r="Y44" s="347">
        <v>1.0</v>
      </c>
      <c r="Z44" s="348">
        <v>510.9875</v>
      </c>
      <c r="AA44" s="348">
        <v>568.235</v>
      </c>
      <c r="AB44" s="349">
        <f t="shared" ref="AB44:AB49" si="51">AA44-Z44</f>
        <v>57.2475</v>
      </c>
      <c r="AC44" s="347">
        <f>399.1-0.45-0.55</f>
        <v>398.1</v>
      </c>
      <c r="AD44" s="347">
        <f>400.9+0.45+0.55</f>
        <v>401.9</v>
      </c>
      <c r="AE44" s="347">
        <f t="shared" ref="AE44:AE49" si="52">AD44-AC44</f>
        <v>3.8</v>
      </c>
      <c r="AF44" s="347">
        <v>508.4</v>
      </c>
      <c r="AG44" s="347">
        <v>508.4</v>
      </c>
      <c r="AH44" s="346">
        <f t="shared" ref="AH44:AH49" si="53">SUM(AF44:AG44)</f>
        <v>1016.8</v>
      </c>
      <c r="AI44" s="346">
        <f t="shared" ref="AI44:AI49" si="54">(AB44*AE44*AH44)/1000000</f>
        <v>0.2211951804</v>
      </c>
      <c r="AJ44" s="347">
        <v>7820.0</v>
      </c>
      <c r="AK44" s="346">
        <f t="shared" ref="AK44:AK49" si="55">AI44*AJ44</f>
        <v>1729.746311</v>
      </c>
      <c r="AL44" s="350"/>
      <c r="AM44" s="158"/>
      <c r="AN44" s="158"/>
      <c r="AO44" s="158"/>
    </row>
    <row r="45">
      <c r="B45" s="345" t="s">
        <v>406</v>
      </c>
      <c r="C45" s="346"/>
      <c r="D45" s="347">
        <v>2.0</v>
      </c>
      <c r="E45" s="348">
        <v>510.9875</v>
      </c>
      <c r="F45" s="348">
        <v>567.4</v>
      </c>
      <c r="G45" s="349">
        <f t="shared" si="46"/>
        <v>56.4125</v>
      </c>
      <c r="H45" s="347">
        <v>535.0</v>
      </c>
      <c r="I45" s="347">
        <v>535.0</v>
      </c>
      <c r="J45" s="346">
        <f t="shared" si="47"/>
        <v>1070</v>
      </c>
      <c r="K45" s="347">
        <f>239.1-0.45-0.55</f>
        <v>238.1</v>
      </c>
      <c r="L45" s="347">
        <f>240.9+0.45+0.55</f>
        <v>241.9</v>
      </c>
      <c r="M45" s="347">
        <f t="shared" si="48"/>
        <v>3.8</v>
      </c>
      <c r="N45" s="346">
        <f t="shared" si="49"/>
        <v>0.229373225</v>
      </c>
      <c r="O45" s="347">
        <v>7820.0</v>
      </c>
      <c r="P45" s="346">
        <f t="shared" si="50"/>
        <v>1793.69862</v>
      </c>
      <c r="Q45" s="350"/>
      <c r="S45" s="319" t="s">
        <v>407</v>
      </c>
      <c r="T45" s="351" t="s">
        <v>405</v>
      </c>
      <c r="U45" s="321"/>
      <c r="V45" s="321"/>
      <c r="W45" s="345" t="s">
        <v>407</v>
      </c>
      <c r="X45" s="346"/>
      <c r="Y45" s="347">
        <v>2.0</v>
      </c>
      <c r="Z45" s="348">
        <v>510.9875</v>
      </c>
      <c r="AA45" s="348">
        <v>568.235</v>
      </c>
      <c r="AB45" s="349">
        <f t="shared" si="51"/>
        <v>57.2475</v>
      </c>
      <c r="AC45" s="347">
        <f>239.1-0.45-0.55</f>
        <v>238.1</v>
      </c>
      <c r="AD45" s="347">
        <f>240.9+0.45+0.55</f>
        <v>241.9</v>
      </c>
      <c r="AE45" s="347">
        <f t="shared" si="52"/>
        <v>3.8</v>
      </c>
      <c r="AF45" s="347">
        <v>508.4</v>
      </c>
      <c r="AG45" s="347">
        <v>508.4</v>
      </c>
      <c r="AH45" s="346">
        <f t="shared" si="53"/>
        <v>1016.8</v>
      </c>
      <c r="AI45" s="346">
        <f t="shared" si="54"/>
        <v>0.2211951804</v>
      </c>
      <c r="AJ45" s="347">
        <v>7820.0</v>
      </c>
      <c r="AK45" s="346">
        <f t="shared" si="55"/>
        <v>1729.746311</v>
      </c>
      <c r="AL45" s="350"/>
      <c r="AM45" s="158"/>
      <c r="AN45" s="158"/>
      <c r="AO45" s="158"/>
    </row>
    <row r="46">
      <c r="B46" s="345" t="s">
        <v>408</v>
      </c>
      <c r="C46" s="346"/>
      <c r="D46" s="347">
        <v>3.0</v>
      </c>
      <c r="E46" s="348">
        <v>510.9875</v>
      </c>
      <c r="F46" s="348">
        <v>567.4</v>
      </c>
      <c r="G46" s="349">
        <f t="shared" si="46"/>
        <v>56.4125</v>
      </c>
      <c r="H46" s="347">
        <v>535.0</v>
      </c>
      <c r="I46" s="347">
        <v>535.0</v>
      </c>
      <c r="J46" s="346">
        <f t="shared" si="47"/>
        <v>1070</v>
      </c>
      <c r="K46" s="347">
        <f>79.1-0.45-0.55</f>
        <v>78.1</v>
      </c>
      <c r="L46" s="347">
        <f>80.9+0.45+0.55</f>
        <v>81.9</v>
      </c>
      <c r="M46" s="347">
        <f t="shared" si="48"/>
        <v>3.8</v>
      </c>
      <c r="N46" s="346">
        <f t="shared" si="49"/>
        <v>0.229373225</v>
      </c>
      <c r="O46" s="347">
        <v>7820.0</v>
      </c>
      <c r="P46" s="346">
        <f t="shared" si="50"/>
        <v>1793.69862</v>
      </c>
      <c r="Q46" s="350"/>
      <c r="S46" s="319" t="s">
        <v>409</v>
      </c>
      <c r="T46" s="351" t="s">
        <v>405</v>
      </c>
      <c r="U46" s="321"/>
      <c r="V46" s="321"/>
      <c r="W46" s="345" t="s">
        <v>409</v>
      </c>
      <c r="X46" s="346"/>
      <c r="Y46" s="347">
        <v>3.0</v>
      </c>
      <c r="Z46" s="348">
        <v>510.9875</v>
      </c>
      <c r="AA46" s="348">
        <v>568.235</v>
      </c>
      <c r="AB46" s="349">
        <f t="shared" si="51"/>
        <v>57.2475</v>
      </c>
      <c r="AC46" s="347">
        <f>79.1-0.45-0.55</f>
        <v>78.1</v>
      </c>
      <c r="AD46" s="347">
        <f>80.9+0.45+0.55</f>
        <v>81.9</v>
      </c>
      <c r="AE46" s="347">
        <f t="shared" si="52"/>
        <v>3.8</v>
      </c>
      <c r="AF46" s="347">
        <v>508.4</v>
      </c>
      <c r="AG46" s="347">
        <v>508.4</v>
      </c>
      <c r="AH46" s="346">
        <f t="shared" si="53"/>
        <v>1016.8</v>
      </c>
      <c r="AI46" s="346">
        <f t="shared" si="54"/>
        <v>0.2211951804</v>
      </c>
      <c r="AJ46" s="347">
        <v>7820.0</v>
      </c>
      <c r="AK46" s="346">
        <f t="shared" si="55"/>
        <v>1729.746311</v>
      </c>
      <c r="AL46" s="350"/>
      <c r="AM46" s="158"/>
      <c r="AN46" s="158"/>
      <c r="AO46" s="158"/>
    </row>
    <row r="47">
      <c r="B47" s="345" t="s">
        <v>410</v>
      </c>
      <c r="C47" s="346"/>
      <c r="D47" s="347">
        <v>4.0</v>
      </c>
      <c r="E47" s="348">
        <v>510.9875</v>
      </c>
      <c r="F47" s="348">
        <v>567.4</v>
      </c>
      <c r="G47" s="349">
        <f t="shared" si="46"/>
        <v>56.4125</v>
      </c>
      <c r="H47" s="347">
        <v>535.0</v>
      </c>
      <c r="I47" s="347">
        <v>535.0</v>
      </c>
      <c r="J47" s="346">
        <f t="shared" si="47"/>
        <v>1070</v>
      </c>
      <c r="K47" s="347">
        <f>-80.9-0.45-0.55</f>
        <v>-81.9</v>
      </c>
      <c r="L47" s="347">
        <f>-79.1+0.45+0.55</f>
        <v>-78.1</v>
      </c>
      <c r="M47" s="347">
        <f t="shared" si="48"/>
        <v>3.8</v>
      </c>
      <c r="N47" s="346">
        <f t="shared" si="49"/>
        <v>0.229373225</v>
      </c>
      <c r="O47" s="347">
        <v>7820.0</v>
      </c>
      <c r="P47" s="346">
        <f t="shared" si="50"/>
        <v>1793.69862</v>
      </c>
      <c r="Q47" s="350"/>
      <c r="S47" s="319" t="s">
        <v>411</v>
      </c>
      <c r="T47" s="351" t="s">
        <v>405</v>
      </c>
      <c r="U47" s="321"/>
      <c r="V47" s="321"/>
      <c r="W47" s="345" t="s">
        <v>411</v>
      </c>
      <c r="X47" s="346"/>
      <c r="Y47" s="347">
        <v>4.0</v>
      </c>
      <c r="Z47" s="348">
        <v>510.9875</v>
      </c>
      <c r="AA47" s="348">
        <v>568.235</v>
      </c>
      <c r="AB47" s="349">
        <f t="shared" si="51"/>
        <v>57.2475</v>
      </c>
      <c r="AC47" s="347">
        <f>-80.9-0.45-0.55</f>
        <v>-81.9</v>
      </c>
      <c r="AD47" s="347">
        <f>-79.1+0.45+0.55</f>
        <v>-78.1</v>
      </c>
      <c r="AE47" s="347">
        <f t="shared" si="52"/>
        <v>3.8</v>
      </c>
      <c r="AF47" s="347">
        <v>508.4</v>
      </c>
      <c r="AG47" s="347">
        <v>508.4</v>
      </c>
      <c r="AH47" s="346">
        <f t="shared" si="53"/>
        <v>1016.8</v>
      </c>
      <c r="AI47" s="346">
        <f t="shared" si="54"/>
        <v>0.2211951804</v>
      </c>
      <c r="AJ47" s="347">
        <v>7820.0</v>
      </c>
      <c r="AK47" s="346">
        <f t="shared" si="55"/>
        <v>1729.746311</v>
      </c>
      <c r="AL47" s="350"/>
      <c r="AM47" s="158"/>
      <c r="AN47" s="158"/>
      <c r="AO47" s="158"/>
    </row>
    <row r="48">
      <c r="B48" s="345" t="s">
        <v>412</v>
      </c>
      <c r="C48" s="346"/>
      <c r="D48" s="347">
        <v>5.0</v>
      </c>
      <c r="E48" s="348">
        <v>510.9875</v>
      </c>
      <c r="F48" s="348">
        <v>567.4</v>
      </c>
      <c r="G48" s="349">
        <f t="shared" ref="G48:G49" si="56">F49-E48</f>
        <v>56.4125</v>
      </c>
      <c r="H48" s="347">
        <v>535.0</v>
      </c>
      <c r="I48" s="347">
        <v>535.0</v>
      </c>
      <c r="J48" s="346">
        <f t="shared" si="47"/>
        <v>1070</v>
      </c>
      <c r="K48" s="347">
        <f>-240.9-0.45-0.55</f>
        <v>-241.9</v>
      </c>
      <c r="L48" s="347">
        <f>-239.1+0.45+0.55</f>
        <v>-238.1</v>
      </c>
      <c r="M48" s="347">
        <f t="shared" si="48"/>
        <v>3.8</v>
      </c>
      <c r="N48" s="346">
        <f t="shared" si="49"/>
        <v>0.229373225</v>
      </c>
      <c r="O48" s="347">
        <v>7820.0</v>
      </c>
      <c r="P48" s="346">
        <f t="shared" si="50"/>
        <v>1793.69862</v>
      </c>
      <c r="Q48" s="350"/>
      <c r="S48" s="319" t="s">
        <v>413</v>
      </c>
      <c r="T48" s="351" t="s">
        <v>405</v>
      </c>
      <c r="U48" s="321"/>
      <c r="V48" s="321"/>
      <c r="W48" s="345" t="s">
        <v>413</v>
      </c>
      <c r="X48" s="346"/>
      <c r="Y48" s="347">
        <v>5.0</v>
      </c>
      <c r="Z48" s="348">
        <v>510.9875</v>
      </c>
      <c r="AA48" s="348">
        <v>568.235</v>
      </c>
      <c r="AB48" s="349">
        <f t="shared" si="51"/>
        <v>57.2475</v>
      </c>
      <c r="AC48" s="347">
        <f>-240.9-0.45-0.55</f>
        <v>-241.9</v>
      </c>
      <c r="AD48" s="347">
        <f>-239.1+0.45+0.55</f>
        <v>-238.1</v>
      </c>
      <c r="AE48" s="347">
        <f t="shared" si="52"/>
        <v>3.8</v>
      </c>
      <c r="AF48" s="347">
        <v>508.4</v>
      </c>
      <c r="AG48" s="347">
        <v>508.4</v>
      </c>
      <c r="AH48" s="346">
        <f t="shared" si="53"/>
        <v>1016.8</v>
      </c>
      <c r="AI48" s="346">
        <f t="shared" si="54"/>
        <v>0.2211951804</v>
      </c>
      <c r="AJ48" s="347">
        <v>7820.0</v>
      </c>
      <c r="AK48" s="346">
        <f t="shared" si="55"/>
        <v>1729.746311</v>
      </c>
      <c r="AL48" s="350"/>
      <c r="AM48" s="158"/>
      <c r="AN48" s="158"/>
      <c r="AO48" s="158"/>
    </row>
    <row r="49">
      <c r="B49" s="345" t="s">
        <v>414</v>
      </c>
      <c r="C49" s="346"/>
      <c r="D49" s="347">
        <v>6.0</v>
      </c>
      <c r="E49" s="348">
        <v>510.9875</v>
      </c>
      <c r="F49" s="348">
        <v>567.4</v>
      </c>
      <c r="G49" s="349">
        <f t="shared" si="56"/>
        <v>-510.9875</v>
      </c>
      <c r="H49" s="347">
        <v>535.0</v>
      </c>
      <c r="I49" s="347">
        <v>535.0</v>
      </c>
      <c r="J49" s="346">
        <f t="shared" si="47"/>
        <v>1070</v>
      </c>
      <c r="K49" s="347">
        <f>-400.9-0.45-0.55</f>
        <v>-401.9</v>
      </c>
      <c r="L49" s="347">
        <f>-399.1+0.45+0.55</f>
        <v>-398.1</v>
      </c>
      <c r="M49" s="347">
        <f t="shared" si="48"/>
        <v>3.8</v>
      </c>
      <c r="N49" s="346">
        <f t="shared" si="49"/>
        <v>-2.077675175</v>
      </c>
      <c r="O49" s="347">
        <v>7820.0</v>
      </c>
      <c r="P49" s="346">
        <f t="shared" si="50"/>
        <v>-16247.41987</v>
      </c>
      <c r="Q49" s="350"/>
      <c r="S49" s="319" t="s">
        <v>415</v>
      </c>
      <c r="T49" s="351" t="s">
        <v>405</v>
      </c>
      <c r="U49" s="321"/>
      <c r="V49" s="321"/>
      <c r="W49" s="345" t="s">
        <v>415</v>
      </c>
      <c r="X49" s="346"/>
      <c r="Y49" s="347">
        <v>6.0</v>
      </c>
      <c r="Z49" s="348">
        <v>510.9875</v>
      </c>
      <c r="AA49" s="348">
        <v>568.235</v>
      </c>
      <c r="AB49" s="349">
        <f t="shared" si="51"/>
        <v>57.2475</v>
      </c>
      <c r="AC49" s="347">
        <f>-400.9-0.45-0.55</f>
        <v>-401.9</v>
      </c>
      <c r="AD49" s="347">
        <f>-399.1+0.45+0.55</f>
        <v>-398.1</v>
      </c>
      <c r="AE49" s="347">
        <f t="shared" si="52"/>
        <v>3.8</v>
      </c>
      <c r="AF49" s="347">
        <v>508.4</v>
      </c>
      <c r="AG49" s="347">
        <v>508.4</v>
      </c>
      <c r="AH49" s="346">
        <f t="shared" si="53"/>
        <v>1016.8</v>
      </c>
      <c r="AI49" s="346">
        <f t="shared" si="54"/>
        <v>0.2211951804</v>
      </c>
      <c r="AJ49" s="347">
        <v>7820.0</v>
      </c>
      <c r="AK49" s="346">
        <f t="shared" si="55"/>
        <v>1729.746311</v>
      </c>
      <c r="AL49" s="350"/>
      <c r="AM49" s="158"/>
      <c r="AN49" s="158"/>
      <c r="AO49" s="158"/>
    </row>
    <row r="50">
      <c r="B50" s="352"/>
      <c r="C50" s="346"/>
      <c r="D50" s="347" t="s">
        <v>294</v>
      </c>
      <c r="E50" s="346"/>
      <c r="F50" s="346"/>
      <c r="G50" s="346"/>
      <c r="H50" s="346"/>
      <c r="I50" s="346"/>
      <c r="J50" s="346"/>
      <c r="K50" s="346"/>
      <c r="L50" s="346"/>
      <c r="M50" s="346"/>
      <c r="N50" s="346">
        <f>SUM(N44:N49)</f>
        <v>-0.93080905</v>
      </c>
      <c r="O50" s="346"/>
      <c r="P50" s="346">
        <f>SUM(P44:P49)</f>
        <v>-7278.926771</v>
      </c>
      <c r="Q50" s="350"/>
      <c r="S50" s="321"/>
      <c r="T50" s="321"/>
      <c r="U50" s="321"/>
      <c r="V50" s="321"/>
      <c r="W50" s="352"/>
      <c r="X50" s="346"/>
      <c r="Y50" s="347" t="s">
        <v>294</v>
      </c>
      <c r="Z50" s="346"/>
      <c r="AA50" s="346"/>
      <c r="AB50" s="346"/>
      <c r="AC50" s="346"/>
      <c r="AD50" s="346"/>
      <c r="AE50" s="346"/>
      <c r="AF50" s="346"/>
      <c r="AG50" s="346"/>
      <c r="AH50" s="346"/>
      <c r="AI50" s="346">
        <f>SUM(AI44:AI49)</f>
        <v>1.327171082</v>
      </c>
      <c r="AJ50" s="346"/>
      <c r="AK50" s="346">
        <f>SUM(AK44:AK49)</f>
        <v>10378.47786</v>
      </c>
      <c r="AL50" s="350"/>
      <c r="AM50" s="158">
        <f>AI50+N50</f>
        <v>0.3963620324</v>
      </c>
      <c r="AN50" s="158"/>
      <c r="AO50" s="158"/>
    </row>
    <row r="51">
      <c r="B51" s="352"/>
      <c r="C51" s="346"/>
      <c r="D51" s="346"/>
      <c r="E51" s="346"/>
      <c r="F51" s="346"/>
      <c r="G51" s="346"/>
      <c r="H51" s="346"/>
      <c r="I51" s="346"/>
      <c r="J51" s="346"/>
      <c r="K51" s="346"/>
      <c r="L51" s="346"/>
      <c r="M51" s="346"/>
      <c r="N51" s="346"/>
      <c r="O51" s="346"/>
      <c r="P51" s="346">
        <f>P50/1000</f>
        <v>-7.278926771</v>
      </c>
      <c r="Q51" s="353" t="s">
        <v>371</v>
      </c>
      <c r="S51" s="321"/>
      <c r="T51" s="321"/>
      <c r="U51" s="321"/>
      <c r="V51" s="321"/>
      <c r="W51" s="352"/>
      <c r="X51" s="346"/>
      <c r="Y51" s="346"/>
      <c r="Z51" s="346"/>
      <c r="AA51" s="346"/>
      <c r="AB51" s="346"/>
      <c r="AC51" s="346"/>
      <c r="AD51" s="346"/>
      <c r="AE51" s="346"/>
      <c r="AF51" s="346"/>
      <c r="AG51" s="346"/>
      <c r="AH51" s="346"/>
      <c r="AI51" s="346"/>
      <c r="AJ51" s="346"/>
      <c r="AK51" s="346">
        <f>AK50/1000</f>
        <v>10.37847786</v>
      </c>
      <c r="AL51" s="353" t="s">
        <v>371</v>
      </c>
      <c r="AM51" s="307"/>
      <c r="AN51" s="307"/>
      <c r="AO51" s="307"/>
    </row>
    <row r="52">
      <c r="B52" s="352"/>
      <c r="C52" s="346"/>
      <c r="D52" s="346"/>
      <c r="E52" s="346"/>
      <c r="F52" s="346"/>
      <c r="G52" s="346"/>
      <c r="H52" s="346"/>
      <c r="I52" s="346"/>
      <c r="J52" s="346"/>
      <c r="K52" s="346"/>
      <c r="L52" s="346"/>
      <c r="M52" s="346"/>
      <c r="N52" s="346"/>
      <c r="O52" s="346"/>
      <c r="P52" s="346"/>
      <c r="Q52" s="353"/>
      <c r="S52" s="321"/>
      <c r="T52" s="321"/>
      <c r="U52" s="321"/>
      <c r="V52" s="321"/>
      <c r="W52" s="352"/>
      <c r="X52" s="346"/>
      <c r="Y52" s="346"/>
      <c r="Z52" s="346"/>
      <c r="AA52" s="346"/>
      <c r="AB52" s="346"/>
      <c r="AC52" s="346"/>
      <c r="AD52" s="346"/>
      <c r="AE52" s="346"/>
      <c r="AF52" s="346"/>
      <c r="AG52" s="346"/>
      <c r="AH52" s="346"/>
      <c r="AI52" s="346"/>
      <c r="AJ52" s="346"/>
      <c r="AK52" s="346"/>
      <c r="AL52" s="353"/>
      <c r="AM52" s="307"/>
      <c r="AN52" s="307"/>
      <c r="AO52" s="307"/>
    </row>
    <row r="53">
      <c r="B53" s="354" t="s">
        <v>330</v>
      </c>
      <c r="C53" s="347" t="s">
        <v>416</v>
      </c>
      <c r="D53" s="347" t="s">
        <v>332</v>
      </c>
      <c r="E53" s="347" t="s">
        <v>333</v>
      </c>
      <c r="F53" s="347" t="s">
        <v>334</v>
      </c>
      <c r="G53" s="347" t="s">
        <v>335</v>
      </c>
      <c r="H53" s="347" t="s">
        <v>336</v>
      </c>
      <c r="I53" s="347" t="s">
        <v>337</v>
      </c>
      <c r="J53" s="347" t="s">
        <v>338</v>
      </c>
      <c r="K53" s="347" t="s">
        <v>339</v>
      </c>
      <c r="L53" s="347" t="s">
        <v>340</v>
      </c>
      <c r="M53" s="347" t="s">
        <v>341</v>
      </c>
      <c r="N53" s="347" t="s">
        <v>235</v>
      </c>
      <c r="O53" s="347" t="s">
        <v>342</v>
      </c>
      <c r="P53" s="347" t="s">
        <v>229</v>
      </c>
      <c r="Q53" s="350"/>
      <c r="S53" s="321"/>
      <c r="T53" s="321"/>
      <c r="U53" s="321"/>
      <c r="V53" s="321"/>
      <c r="W53" s="354" t="s">
        <v>330</v>
      </c>
      <c r="X53" s="347" t="s">
        <v>416</v>
      </c>
      <c r="Y53" s="347" t="s">
        <v>332</v>
      </c>
      <c r="Z53" s="347" t="s">
        <v>333</v>
      </c>
      <c r="AA53" s="347" t="s">
        <v>334</v>
      </c>
      <c r="AB53" s="347" t="s">
        <v>335</v>
      </c>
      <c r="AC53" s="347" t="s">
        <v>336</v>
      </c>
      <c r="AD53" s="347" t="s">
        <v>337</v>
      </c>
      <c r="AE53" s="347" t="s">
        <v>338</v>
      </c>
      <c r="AF53" s="347" t="s">
        <v>339</v>
      </c>
      <c r="AG53" s="347" t="s">
        <v>340</v>
      </c>
      <c r="AH53" s="347" t="s">
        <v>341</v>
      </c>
      <c r="AI53" s="347" t="s">
        <v>235</v>
      </c>
      <c r="AJ53" s="347" t="s">
        <v>342</v>
      </c>
      <c r="AK53" s="347" t="s">
        <v>229</v>
      </c>
      <c r="AL53" s="350"/>
      <c r="AM53" s="158"/>
      <c r="AN53" s="158"/>
      <c r="AO53" s="158"/>
    </row>
    <row r="54">
      <c r="B54" s="345" t="s">
        <v>417</v>
      </c>
      <c r="C54" s="346"/>
      <c r="D54" s="347">
        <v>1.0</v>
      </c>
      <c r="E54" s="348">
        <v>-568.2375</v>
      </c>
      <c r="F54" s="348">
        <v>-510.9875</v>
      </c>
      <c r="G54" s="349">
        <f t="shared" ref="G54:G59" si="57">F54-E54</f>
        <v>57.25</v>
      </c>
      <c r="H54" s="347">
        <v>-535.0</v>
      </c>
      <c r="I54" s="347">
        <v>535.0</v>
      </c>
      <c r="J54" s="346">
        <f t="shared" ref="J54:J59" si="58">I54-H54</f>
        <v>1070</v>
      </c>
      <c r="K54" s="347">
        <f>399.1-0.45-0.55</f>
        <v>398.1</v>
      </c>
      <c r="L54" s="347">
        <f>400.9+0.45+0.55</f>
        <v>401.9</v>
      </c>
      <c r="M54" s="347">
        <f t="shared" ref="M54:M59" si="59">L54-K54</f>
        <v>3.8</v>
      </c>
      <c r="N54" s="346">
        <f t="shared" ref="N54:N59" si="60">(G54*J54*M54)/1000000</f>
        <v>0.2327785</v>
      </c>
      <c r="O54" s="347">
        <v>7820.0</v>
      </c>
      <c r="P54" s="346">
        <f t="shared" ref="P54:P59" si="61">N54*O54</f>
        <v>1820.32787</v>
      </c>
      <c r="Q54" s="350"/>
      <c r="S54" s="319" t="s">
        <v>418</v>
      </c>
      <c r="T54" s="319" t="s">
        <v>419</v>
      </c>
      <c r="W54" s="345" t="s">
        <v>418</v>
      </c>
      <c r="X54" s="346"/>
      <c r="Y54" s="347">
        <v>1.0</v>
      </c>
      <c r="Z54" s="348">
        <v>-568.2375</v>
      </c>
      <c r="AA54" s="348">
        <v>-510.9975</v>
      </c>
      <c r="AB54" s="349">
        <f t="shared" ref="AB54:AB59" si="62">AA54-Z54</f>
        <v>57.24</v>
      </c>
      <c r="AC54" s="347">
        <f>399.1-0.45-0.55</f>
        <v>398.1</v>
      </c>
      <c r="AD54" s="347">
        <f>400.9+0.45+0.55</f>
        <v>401.9</v>
      </c>
      <c r="AE54" s="347">
        <f t="shared" ref="AE54:AE59" si="63">AD54-AC54</f>
        <v>3.8</v>
      </c>
      <c r="AF54" s="347">
        <v>508.4</v>
      </c>
      <c r="AG54" s="347">
        <v>508.4</v>
      </c>
      <c r="AH54" s="346">
        <f t="shared" ref="AH54:AH59" si="64">AG54+AF54</f>
        <v>1016.8</v>
      </c>
      <c r="AI54" s="346">
        <f t="shared" ref="AI54:AI59" si="65">(AB54*AE54*AH54)/1000000</f>
        <v>0.2211662016</v>
      </c>
      <c r="AJ54" s="347">
        <v>7820.0</v>
      </c>
      <c r="AK54" s="346">
        <f t="shared" ref="AK54:AK59" si="66">AI54*AJ54</f>
        <v>1729.519697</v>
      </c>
      <c r="AL54" s="350"/>
      <c r="AM54" s="158"/>
      <c r="AN54" s="158"/>
      <c r="AO54" s="158"/>
    </row>
    <row r="55">
      <c r="B55" s="345" t="s">
        <v>420</v>
      </c>
      <c r="C55" s="346"/>
      <c r="D55" s="347">
        <v>2.0</v>
      </c>
      <c r="E55" s="348">
        <v>-568.2375</v>
      </c>
      <c r="F55" s="348">
        <v>-510.9875</v>
      </c>
      <c r="G55" s="349">
        <f t="shared" si="57"/>
        <v>57.25</v>
      </c>
      <c r="H55" s="347">
        <v>-535.0</v>
      </c>
      <c r="I55" s="347">
        <v>535.0</v>
      </c>
      <c r="J55" s="346">
        <f t="shared" si="58"/>
        <v>1070</v>
      </c>
      <c r="K55" s="347">
        <f>239.1-0.45-0.55</f>
        <v>238.1</v>
      </c>
      <c r="L55" s="347">
        <f>240.9+0.45+0.55</f>
        <v>241.9</v>
      </c>
      <c r="M55" s="347">
        <f t="shared" si="59"/>
        <v>3.8</v>
      </c>
      <c r="N55" s="346">
        <f t="shared" si="60"/>
        <v>0.2327785</v>
      </c>
      <c r="O55" s="347">
        <v>7820.0</v>
      </c>
      <c r="P55" s="346">
        <f t="shared" si="61"/>
        <v>1820.32787</v>
      </c>
      <c r="Q55" s="350"/>
      <c r="S55" s="319" t="s">
        <v>421</v>
      </c>
      <c r="T55" s="319" t="s">
        <v>419</v>
      </c>
      <c r="W55" s="345" t="s">
        <v>421</v>
      </c>
      <c r="X55" s="346"/>
      <c r="Y55" s="347">
        <v>2.0</v>
      </c>
      <c r="Z55" s="348">
        <v>-568.2375</v>
      </c>
      <c r="AA55" s="348">
        <v>-510.9975</v>
      </c>
      <c r="AB55" s="349">
        <f t="shared" si="62"/>
        <v>57.24</v>
      </c>
      <c r="AC55" s="347">
        <f>239.1-0.45-0.55</f>
        <v>238.1</v>
      </c>
      <c r="AD55" s="347">
        <f>240.9+0.45+0.55</f>
        <v>241.9</v>
      </c>
      <c r="AE55" s="347">
        <f t="shared" si="63"/>
        <v>3.8</v>
      </c>
      <c r="AF55" s="347">
        <v>508.4</v>
      </c>
      <c r="AG55" s="347">
        <v>508.4</v>
      </c>
      <c r="AH55" s="346">
        <f t="shared" si="64"/>
        <v>1016.8</v>
      </c>
      <c r="AI55" s="346">
        <f t="shared" si="65"/>
        <v>0.2211662016</v>
      </c>
      <c r="AJ55" s="347">
        <v>7820.0</v>
      </c>
      <c r="AK55" s="346">
        <f t="shared" si="66"/>
        <v>1729.519697</v>
      </c>
      <c r="AL55" s="350"/>
      <c r="AM55" s="158"/>
      <c r="AN55" s="158"/>
      <c r="AO55" s="158"/>
    </row>
    <row r="56">
      <c r="B56" s="345" t="s">
        <v>422</v>
      </c>
      <c r="C56" s="346"/>
      <c r="D56" s="347">
        <v>3.0</v>
      </c>
      <c r="E56" s="348">
        <v>-568.2375</v>
      </c>
      <c r="F56" s="348">
        <v>-510.9875</v>
      </c>
      <c r="G56" s="349">
        <f t="shared" si="57"/>
        <v>57.25</v>
      </c>
      <c r="H56" s="347">
        <v>-535.0</v>
      </c>
      <c r="I56" s="347">
        <v>535.0</v>
      </c>
      <c r="J56" s="346">
        <f t="shared" si="58"/>
        <v>1070</v>
      </c>
      <c r="K56" s="347">
        <f>79.1-0.45-0.55</f>
        <v>78.1</v>
      </c>
      <c r="L56" s="347">
        <f>80.9+0.45+0.55</f>
        <v>81.9</v>
      </c>
      <c r="M56" s="347">
        <f t="shared" si="59"/>
        <v>3.8</v>
      </c>
      <c r="N56" s="346">
        <f t="shared" si="60"/>
        <v>0.2327785</v>
      </c>
      <c r="O56" s="347">
        <v>7820.0</v>
      </c>
      <c r="P56" s="346">
        <f t="shared" si="61"/>
        <v>1820.32787</v>
      </c>
      <c r="Q56" s="350"/>
      <c r="S56" s="319" t="s">
        <v>423</v>
      </c>
      <c r="T56" s="319" t="s">
        <v>419</v>
      </c>
      <c r="W56" s="345" t="s">
        <v>423</v>
      </c>
      <c r="X56" s="346"/>
      <c r="Y56" s="347">
        <v>3.0</v>
      </c>
      <c r="Z56" s="348">
        <v>-568.2375</v>
      </c>
      <c r="AA56" s="348">
        <v>-510.9975</v>
      </c>
      <c r="AB56" s="349">
        <f t="shared" si="62"/>
        <v>57.24</v>
      </c>
      <c r="AC56" s="347">
        <f>79.1-0.45-0.55</f>
        <v>78.1</v>
      </c>
      <c r="AD56" s="347">
        <f>80.9+0.45+0.55</f>
        <v>81.9</v>
      </c>
      <c r="AE56" s="347">
        <f t="shared" si="63"/>
        <v>3.8</v>
      </c>
      <c r="AF56" s="347">
        <v>508.4</v>
      </c>
      <c r="AG56" s="347">
        <v>508.4</v>
      </c>
      <c r="AH56" s="346">
        <f t="shared" si="64"/>
        <v>1016.8</v>
      </c>
      <c r="AI56" s="346">
        <f t="shared" si="65"/>
        <v>0.2211662016</v>
      </c>
      <c r="AJ56" s="347">
        <v>7820.0</v>
      </c>
      <c r="AK56" s="346">
        <f t="shared" si="66"/>
        <v>1729.519697</v>
      </c>
      <c r="AL56" s="350"/>
      <c r="AM56" s="158"/>
      <c r="AN56" s="158"/>
      <c r="AO56" s="158"/>
    </row>
    <row r="57">
      <c r="B57" s="345" t="s">
        <v>424</v>
      </c>
      <c r="C57" s="346"/>
      <c r="D57" s="347">
        <v>4.0</v>
      </c>
      <c r="E57" s="348">
        <v>-568.2375</v>
      </c>
      <c r="F57" s="348">
        <v>-510.9875</v>
      </c>
      <c r="G57" s="349">
        <f t="shared" si="57"/>
        <v>57.25</v>
      </c>
      <c r="H57" s="347">
        <v>-535.0</v>
      </c>
      <c r="I57" s="347">
        <v>535.0</v>
      </c>
      <c r="J57" s="346">
        <f t="shared" si="58"/>
        <v>1070</v>
      </c>
      <c r="K57" s="347">
        <f>-80.9-0.45-0.55</f>
        <v>-81.9</v>
      </c>
      <c r="L57" s="347">
        <f>-79.1+0.45+0.55</f>
        <v>-78.1</v>
      </c>
      <c r="M57" s="347">
        <f t="shared" si="59"/>
        <v>3.8</v>
      </c>
      <c r="N57" s="346">
        <f t="shared" si="60"/>
        <v>0.2327785</v>
      </c>
      <c r="O57" s="347">
        <v>7820.0</v>
      </c>
      <c r="P57" s="346">
        <f t="shared" si="61"/>
        <v>1820.32787</v>
      </c>
      <c r="Q57" s="350"/>
      <c r="S57" s="319" t="s">
        <v>425</v>
      </c>
      <c r="T57" s="319" t="s">
        <v>419</v>
      </c>
      <c r="W57" s="345" t="s">
        <v>425</v>
      </c>
      <c r="X57" s="346"/>
      <c r="Y57" s="347">
        <v>4.0</v>
      </c>
      <c r="Z57" s="348">
        <v>-568.2375</v>
      </c>
      <c r="AA57" s="348">
        <v>-510.9975</v>
      </c>
      <c r="AB57" s="349">
        <f t="shared" si="62"/>
        <v>57.24</v>
      </c>
      <c r="AC57" s="347">
        <f>-80.9-0.45-0.55</f>
        <v>-81.9</v>
      </c>
      <c r="AD57" s="347">
        <f>-79.1+0.45+0.55</f>
        <v>-78.1</v>
      </c>
      <c r="AE57" s="347">
        <f t="shared" si="63"/>
        <v>3.8</v>
      </c>
      <c r="AF57" s="347">
        <v>508.4</v>
      </c>
      <c r="AG57" s="347">
        <v>508.4</v>
      </c>
      <c r="AH57" s="346">
        <f t="shared" si="64"/>
        <v>1016.8</v>
      </c>
      <c r="AI57" s="346">
        <f t="shared" si="65"/>
        <v>0.2211662016</v>
      </c>
      <c r="AJ57" s="347">
        <v>7820.0</v>
      </c>
      <c r="AK57" s="346">
        <f t="shared" si="66"/>
        <v>1729.519697</v>
      </c>
      <c r="AL57" s="350"/>
      <c r="AM57" s="158"/>
      <c r="AN57" s="158"/>
      <c r="AO57" s="158"/>
    </row>
    <row r="58">
      <c r="B58" s="345" t="s">
        <v>426</v>
      </c>
      <c r="C58" s="346"/>
      <c r="D58" s="347">
        <v>5.0</v>
      </c>
      <c r="E58" s="348">
        <v>-568.2375</v>
      </c>
      <c r="F58" s="348">
        <v>-510.9875</v>
      </c>
      <c r="G58" s="349">
        <f t="shared" si="57"/>
        <v>57.25</v>
      </c>
      <c r="H58" s="347">
        <v>-535.0</v>
      </c>
      <c r="I58" s="347">
        <v>535.0</v>
      </c>
      <c r="J58" s="346">
        <f t="shared" si="58"/>
        <v>1070</v>
      </c>
      <c r="K58" s="347">
        <f>-240.9-0.45-0.55</f>
        <v>-241.9</v>
      </c>
      <c r="L58" s="347">
        <f>-239.1+0.45+0.55</f>
        <v>-238.1</v>
      </c>
      <c r="M58" s="347">
        <f t="shared" si="59"/>
        <v>3.8</v>
      </c>
      <c r="N58" s="346">
        <f t="shared" si="60"/>
        <v>0.2327785</v>
      </c>
      <c r="O58" s="347">
        <v>7820.0</v>
      </c>
      <c r="P58" s="346">
        <f t="shared" si="61"/>
        <v>1820.32787</v>
      </c>
      <c r="Q58" s="350"/>
      <c r="S58" s="319" t="s">
        <v>427</v>
      </c>
      <c r="T58" s="319" t="s">
        <v>419</v>
      </c>
      <c r="W58" s="345" t="s">
        <v>427</v>
      </c>
      <c r="X58" s="346"/>
      <c r="Y58" s="347">
        <v>5.0</v>
      </c>
      <c r="Z58" s="348">
        <v>-568.2375</v>
      </c>
      <c r="AA58" s="348">
        <v>-510.9975</v>
      </c>
      <c r="AB58" s="349">
        <f t="shared" si="62"/>
        <v>57.24</v>
      </c>
      <c r="AC58" s="347">
        <f>-240.9-0.45-0.55</f>
        <v>-241.9</v>
      </c>
      <c r="AD58" s="347">
        <f>-239.1+0.45+0.55</f>
        <v>-238.1</v>
      </c>
      <c r="AE58" s="347">
        <f t="shared" si="63"/>
        <v>3.8</v>
      </c>
      <c r="AF58" s="347">
        <v>508.4</v>
      </c>
      <c r="AG58" s="347">
        <v>508.4</v>
      </c>
      <c r="AH58" s="346">
        <f t="shared" si="64"/>
        <v>1016.8</v>
      </c>
      <c r="AI58" s="346">
        <f t="shared" si="65"/>
        <v>0.2211662016</v>
      </c>
      <c r="AJ58" s="347">
        <v>7820.0</v>
      </c>
      <c r="AK58" s="346">
        <f t="shared" si="66"/>
        <v>1729.519697</v>
      </c>
      <c r="AL58" s="350"/>
      <c r="AM58" s="158"/>
      <c r="AN58" s="158"/>
      <c r="AO58" s="158"/>
    </row>
    <row r="59">
      <c r="B59" s="345" t="s">
        <v>428</v>
      </c>
      <c r="C59" s="346"/>
      <c r="D59" s="347">
        <v>6.0</v>
      </c>
      <c r="E59" s="348">
        <v>-568.2375</v>
      </c>
      <c r="F59" s="348">
        <v>-510.9875</v>
      </c>
      <c r="G59" s="349">
        <f t="shared" si="57"/>
        <v>57.25</v>
      </c>
      <c r="H59" s="347">
        <v>-535.0</v>
      </c>
      <c r="I59" s="347">
        <v>535.0</v>
      </c>
      <c r="J59" s="346">
        <f t="shared" si="58"/>
        <v>1070</v>
      </c>
      <c r="K59" s="347">
        <f>-400.9-0.45-0.55</f>
        <v>-401.9</v>
      </c>
      <c r="L59" s="347">
        <f>-399.1+0.45+0.55</f>
        <v>-398.1</v>
      </c>
      <c r="M59" s="347">
        <f t="shared" si="59"/>
        <v>3.8</v>
      </c>
      <c r="N59" s="346">
        <f t="shared" si="60"/>
        <v>0.2327785</v>
      </c>
      <c r="O59" s="347">
        <v>7820.0</v>
      </c>
      <c r="P59" s="346">
        <f t="shared" si="61"/>
        <v>1820.32787</v>
      </c>
      <c r="Q59" s="350"/>
      <c r="S59" s="319" t="s">
        <v>429</v>
      </c>
      <c r="T59" s="319" t="s">
        <v>419</v>
      </c>
      <c r="W59" s="345" t="s">
        <v>429</v>
      </c>
      <c r="X59" s="346"/>
      <c r="Y59" s="347">
        <v>6.0</v>
      </c>
      <c r="Z59" s="348">
        <v>-568.2375</v>
      </c>
      <c r="AA59" s="348">
        <v>-510.9975</v>
      </c>
      <c r="AB59" s="349">
        <f t="shared" si="62"/>
        <v>57.24</v>
      </c>
      <c r="AC59" s="347">
        <f>-400.9-0.45-0.55</f>
        <v>-401.9</v>
      </c>
      <c r="AD59" s="347">
        <f>-399.1+0.45+0.55</f>
        <v>-398.1</v>
      </c>
      <c r="AE59" s="347">
        <f t="shared" si="63"/>
        <v>3.8</v>
      </c>
      <c r="AF59" s="347">
        <v>508.4</v>
      </c>
      <c r="AG59" s="347">
        <v>508.4</v>
      </c>
      <c r="AH59" s="346">
        <f t="shared" si="64"/>
        <v>1016.8</v>
      </c>
      <c r="AI59" s="346">
        <f t="shared" si="65"/>
        <v>0.2211662016</v>
      </c>
      <c r="AJ59" s="347">
        <v>7820.0</v>
      </c>
      <c r="AK59" s="346">
        <f t="shared" si="66"/>
        <v>1729.519697</v>
      </c>
      <c r="AL59" s="350"/>
      <c r="AM59" s="158"/>
      <c r="AN59" s="158"/>
      <c r="AO59" s="158"/>
    </row>
    <row r="60">
      <c r="B60" s="352"/>
      <c r="C60" s="346"/>
      <c r="D60" s="347" t="s">
        <v>294</v>
      </c>
      <c r="E60" s="346"/>
      <c r="F60" s="346"/>
      <c r="G60" s="346"/>
      <c r="H60" s="346"/>
      <c r="I60" s="346"/>
      <c r="J60" s="346"/>
      <c r="K60" s="346"/>
      <c r="L60" s="346"/>
      <c r="M60" s="346"/>
      <c r="N60" s="346">
        <f>SUM(N54:N59)</f>
        <v>1.396671</v>
      </c>
      <c r="O60" s="346"/>
      <c r="P60" s="346">
        <f>SUM(P54:P59)</f>
        <v>10921.96722</v>
      </c>
      <c r="Q60" s="350"/>
      <c r="S60" s="321"/>
      <c r="T60" s="321"/>
      <c r="U60" s="321"/>
      <c r="V60" s="321"/>
      <c r="W60" s="352"/>
      <c r="X60" s="346"/>
      <c r="Y60" s="347" t="s">
        <v>294</v>
      </c>
      <c r="Z60" s="346"/>
      <c r="AA60" s="346"/>
      <c r="AB60" s="346"/>
      <c r="AC60" s="346"/>
      <c r="AD60" s="346"/>
      <c r="AE60" s="346"/>
      <c r="AF60" s="346"/>
      <c r="AG60" s="346"/>
      <c r="AH60" s="346"/>
      <c r="AI60" s="346">
        <f>SUM(AI54:AI59)</f>
        <v>1.32699721</v>
      </c>
      <c r="AJ60" s="346"/>
      <c r="AK60" s="346">
        <f>SUM(AK54:AK59)</f>
        <v>10377.11818</v>
      </c>
      <c r="AL60" s="350"/>
      <c r="AM60" s="158">
        <f>AI60+N60</f>
        <v>2.72366821</v>
      </c>
      <c r="AN60" s="158"/>
      <c r="AO60" s="158"/>
    </row>
    <row r="61">
      <c r="B61" s="355"/>
      <c r="C61" s="356"/>
      <c r="D61" s="356"/>
      <c r="E61" s="356"/>
      <c r="F61" s="356"/>
      <c r="G61" s="356"/>
      <c r="H61" s="356"/>
      <c r="I61" s="356"/>
      <c r="J61" s="356"/>
      <c r="K61" s="356"/>
      <c r="L61" s="356"/>
      <c r="M61" s="356"/>
      <c r="N61" s="356"/>
      <c r="O61" s="356"/>
      <c r="P61" s="356">
        <f>P60/1000</f>
        <v>10.92196722</v>
      </c>
      <c r="Q61" s="357" t="s">
        <v>371</v>
      </c>
      <c r="S61" s="321"/>
      <c r="T61" s="321"/>
      <c r="U61" s="321"/>
      <c r="V61" s="321"/>
      <c r="W61" s="355"/>
      <c r="X61" s="356"/>
      <c r="Y61" s="356"/>
      <c r="Z61" s="356"/>
      <c r="AA61" s="356"/>
      <c r="AB61" s="356"/>
      <c r="AC61" s="356"/>
      <c r="AD61" s="356"/>
      <c r="AE61" s="356"/>
      <c r="AF61" s="356"/>
      <c r="AG61" s="356"/>
      <c r="AH61" s="356"/>
      <c r="AI61" s="356"/>
      <c r="AJ61" s="356"/>
      <c r="AK61" s="356">
        <f>AK60/1000</f>
        <v>10.37711818</v>
      </c>
      <c r="AL61" s="357" t="s">
        <v>371</v>
      </c>
      <c r="AM61" s="307"/>
      <c r="AN61" s="307"/>
      <c r="AO61" s="307"/>
    </row>
    <row r="62">
      <c r="AM62" s="158"/>
      <c r="AN62" s="158"/>
      <c r="AO62" s="158"/>
    </row>
    <row r="63">
      <c r="AM63" s="158"/>
      <c r="AN63" s="158"/>
      <c r="AO63" s="158"/>
    </row>
    <row r="64">
      <c r="A64" s="358"/>
      <c r="B64" s="359"/>
      <c r="C64" s="359"/>
      <c r="D64" s="359"/>
      <c r="E64" s="359"/>
      <c r="F64" s="359"/>
      <c r="G64" s="359"/>
      <c r="H64" s="359"/>
      <c r="I64" s="359"/>
      <c r="J64" s="359"/>
      <c r="K64" s="359"/>
      <c r="L64" s="359"/>
      <c r="M64" s="359"/>
      <c r="N64" s="359"/>
      <c r="O64" s="359"/>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158"/>
      <c r="AN64" s="158"/>
      <c r="AO64" s="158"/>
    </row>
    <row r="65">
      <c r="A65" s="360"/>
      <c r="B65" s="361"/>
      <c r="C65" s="361"/>
      <c r="D65" s="361"/>
      <c r="E65" s="361"/>
      <c r="F65" s="361"/>
      <c r="G65" s="361"/>
      <c r="H65" s="361"/>
      <c r="I65" s="361"/>
      <c r="J65" s="361"/>
      <c r="K65" s="361"/>
      <c r="L65" s="361"/>
      <c r="M65" s="361"/>
      <c r="N65" s="361"/>
      <c r="O65" s="361"/>
      <c r="P65" s="361"/>
      <c r="Q65" s="361"/>
      <c r="R65" s="361"/>
      <c r="S65" s="361"/>
      <c r="T65" s="361"/>
      <c r="U65" s="361"/>
      <c r="V65" s="361"/>
      <c r="W65" s="361"/>
      <c r="X65" s="361"/>
      <c r="Y65" s="361"/>
      <c r="Z65" s="361"/>
      <c r="AA65" s="361"/>
      <c r="AB65" s="361"/>
      <c r="AC65" s="361"/>
      <c r="AD65" s="361"/>
      <c r="AE65" s="361"/>
      <c r="AF65" s="361"/>
      <c r="AG65" s="361"/>
      <c r="AH65" s="361"/>
      <c r="AI65" s="361"/>
      <c r="AJ65" s="361"/>
      <c r="AK65" s="361"/>
      <c r="AL65" s="361"/>
      <c r="AM65" s="158"/>
      <c r="AN65" s="158"/>
      <c r="AO65" s="158"/>
    </row>
    <row r="66">
      <c r="AM66" s="158"/>
      <c r="AN66" s="158"/>
      <c r="AO66" s="158"/>
    </row>
    <row r="67">
      <c r="AM67" s="158"/>
      <c r="AN67" s="158"/>
      <c r="AO67" s="158"/>
    </row>
    <row r="68">
      <c r="B68" s="308" t="s">
        <v>330</v>
      </c>
      <c r="C68" s="309" t="s">
        <v>331</v>
      </c>
      <c r="D68" s="309" t="s">
        <v>430</v>
      </c>
      <c r="E68" s="309" t="s">
        <v>333</v>
      </c>
      <c r="F68" s="309" t="s">
        <v>334</v>
      </c>
      <c r="G68" s="309" t="s">
        <v>335</v>
      </c>
      <c r="H68" s="309" t="s">
        <v>336</v>
      </c>
      <c r="I68" s="309" t="s">
        <v>337</v>
      </c>
      <c r="J68" s="309" t="s">
        <v>338</v>
      </c>
      <c r="K68" s="309" t="s">
        <v>339</v>
      </c>
      <c r="L68" s="309" t="s">
        <v>340</v>
      </c>
      <c r="M68" s="309" t="s">
        <v>341</v>
      </c>
      <c r="N68" s="309" t="s">
        <v>235</v>
      </c>
      <c r="O68" s="309" t="s">
        <v>342</v>
      </c>
      <c r="P68" s="309" t="s">
        <v>229</v>
      </c>
      <c r="Q68" s="310"/>
      <c r="R68" s="307"/>
      <c r="W68" s="308" t="s">
        <v>330</v>
      </c>
      <c r="X68" s="309" t="s">
        <v>331</v>
      </c>
      <c r="Y68" s="364" t="s">
        <v>431</v>
      </c>
      <c r="Z68" s="309" t="s">
        <v>333</v>
      </c>
      <c r="AA68" s="309" t="s">
        <v>334</v>
      </c>
      <c r="AB68" s="309" t="s">
        <v>335</v>
      </c>
      <c r="AC68" s="309" t="s">
        <v>336</v>
      </c>
      <c r="AD68" s="309" t="s">
        <v>337</v>
      </c>
      <c r="AE68" s="309" t="s">
        <v>338</v>
      </c>
      <c r="AF68" s="309" t="s">
        <v>339</v>
      </c>
      <c r="AG68" s="309" t="s">
        <v>340</v>
      </c>
      <c r="AH68" s="309" t="s">
        <v>341</v>
      </c>
      <c r="AI68" s="309" t="s">
        <v>235</v>
      </c>
      <c r="AJ68" s="309" t="s">
        <v>342</v>
      </c>
      <c r="AK68" s="309" t="s">
        <v>229</v>
      </c>
      <c r="AL68" s="310"/>
      <c r="AM68" s="158"/>
      <c r="AN68" s="158"/>
      <c r="AO68" s="158"/>
    </row>
    <row r="69">
      <c r="B69" s="312" t="s">
        <v>432</v>
      </c>
      <c r="C69" s="313"/>
      <c r="D69" s="314">
        <v>1.0</v>
      </c>
      <c r="E69" s="314">
        <v>570.2</v>
      </c>
      <c r="F69" s="314">
        <v>570.2</v>
      </c>
      <c r="G69" s="315">
        <f t="shared" ref="G69:G74" si="67">SUM(E69:F69)</f>
        <v>1140.4</v>
      </c>
      <c r="H69" s="316">
        <v>411.4</v>
      </c>
      <c r="I69" s="316">
        <v>388.6</v>
      </c>
      <c r="J69" s="313">
        <f>H69-I69</f>
        <v>22.8</v>
      </c>
      <c r="K69" s="316">
        <f t="shared" ref="K69:K74" si="68">567.4+0.8375</f>
        <v>568.2375</v>
      </c>
      <c r="L69" s="316">
        <v>570.2</v>
      </c>
      <c r="M69" s="313">
        <f t="shared" ref="M69:M74" si="69">L69-K69</f>
        <v>1.9625</v>
      </c>
      <c r="N69" s="313">
        <f t="shared" ref="N69:N74" si="70">(G69*J69*M69)/1000000</f>
        <v>0.051027198</v>
      </c>
      <c r="O69" s="316">
        <v>7820.0</v>
      </c>
      <c r="P69" s="313">
        <f t="shared" ref="P69:P74" si="71">N69*O69</f>
        <v>399.0326884</v>
      </c>
      <c r="Q69" s="317"/>
      <c r="R69" s="158"/>
      <c r="S69" s="319" t="s">
        <v>432</v>
      </c>
      <c r="T69" s="319" t="s">
        <v>433</v>
      </c>
      <c r="W69" s="312" t="s">
        <v>434</v>
      </c>
      <c r="X69" s="313"/>
      <c r="Y69" s="314">
        <v>1.0</v>
      </c>
      <c r="Z69" s="314">
        <v>-411.4</v>
      </c>
      <c r="AA69" s="314">
        <v>-388.6</v>
      </c>
      <c r="AB69" s="315">
        <f t="shared" ref="AB69:AB74" si="72">AA69-Z69</f>
        <v>22.8</v>
      </c>
      <c r="AC69" s="316">
        <v>535.0</v>
      </c>
      <c r="AD69" s="316">
        <v>535.0</v>
      </c>
      <c r="AE69" s="313">
        <f t="shared" ref="AE69:AE74" si="73">AD69+AC69</f>
        <v>1070</v>
      </c>
      <c r="AF69" s="316">
        <v>570.2</v>
      </c>
      <c r="AG69" s="314">
        <v>568.2375</v>
      </c>
      <c r="AH69" s="313">
        <f t="shared" ref="AH69:AH74" si="74">AF69-AG69</f>
        <v>1.9625</v>
      </c>
      <c r="AI69" s="313">
        <f t="shared" ref="AI69:AI74" si="75">(AB69*AE69*AH69)/1000000</f>
        <v>0.04787715</v>
      </c>
      <c r="AJ69" s="316">
        <v>7820.0</v>
      </c>
      <c r="AK69" s="313">
        <f t="shared" ref="AK69:AK74" si="76">AI69*AJ69</f>
        <v>374.399313</v>
      </c>
      <c r="AL69" s="317"/>
      <c r="AM69" s="158"/>
      <c r="AN69" s="158"/>
      <c r="AO69" s="158"/>
    </row>
    <row r="70">
      <c r="B70" s="312" t="s">
        <v>435</v>
      </c>
      <c r="C70" s="313"/>
      <c r="D70" s="314">
        <v>2.0</v>
      </c>
      <c r="E70" s="314">
        <v>570.2</v>
      </c>
      <c r="F70" s="314">
        <v>570.2</v>
      </c>
      <c r="G70" s="315">
        <f t="shared" si="67"/>
        <v>1140.4</v>
      </c>
      <c r="H70" s="316">
        <v>228.6</v>
      </c>
      <c r="I70" s="316">
        <v>251.4</v>
      </c>
      <c r="J70" s="313">
        <f t="shared" ref="J70:J74" si="77">I70-H70</f>
        <v>22.8</v>
      </c>
      <c r="K70" s="316">
        <f t="shared" si="68"/>
        <v>568.2375</v>
      </c>
      <c r="L70" s="316">
        <v>570.2</v>
      </c>
      <c r="M70" s="313">
        <f t="shared" si="69"/>
        <v>1.9625</v>
      </c>
      <c r="N70" s="313">
        <f t="shared" si="70"/>
        <v>0.051027198</v>
      </c>
      <c r="O70" s="316">
        <v>7820.0</v>
      </c>
      <c r="P70" s="313">
        <f t="shared" si="71"/>
        <v>399.0326884</v>
      </c>
      <c r="Q70" s="317"/>
      <c r="S70" s="319" t="s">
        <v>435</v>
      </c>
      <c r="T70" s="319" t="s">
        <v>433</v>
      </c>
      <c r="W70" s="323" t="s">
        <v>436</v>
      </c>
      <c r="X70" s="313"/>
      <c r="Y70" s="314">
        <v>2.0</v>
      </c>
      <c r="Z70" s="314">
        <v>-251.4</v>
      </c>
      <c r="AA70" s="314">
        <v>-228.6</v>
      </c>
      <c r="AB70" s="315">
        <f t="shared" si="72"/>
        <v>22.8</v>
      </c>
      <c r="AC70" s="316">
        <v>535.0</v>
      </c>
      <c r="AD70" s="316">
        <v>535.0</v>
      </c>
      <c r="AE70" s="313">
        <f t="shared" si="73"/>
        <v>1070</v>
      </c>
      <c r="AF70" s="316">
        <v>570.2</v>
      </c>
      <c r="AG70" s="314">
        <v>568.2375</v>
      </c>
      <c r="AH70" s="313">
        <f t="shared" si="74"/>
        <v>1.9625</v>
      </c>
      <c r="AI70" s="313">
        <f t="shared" si="75"/>
        <v>0.04787715</v>
      </c>
      <c r="AJ70" s="316">
        <v>7820.0</v>
      </c>
      <c r="AK70" s="313">
        <f t="shared" si="76"/>
        <v>374.399313</v>
      </c>
      <c r="AL70" s="317"/>
      <c r="AM70" s="158"/>
      <c r="AN70" s="158"/>
      <c r="AO70" s="158"/>
    </row>
    <row r="71">
      <c r="B71" s="312" t="s">
        <v>437</v>
      </c>
      <c r="C71" s="313"/>
      <c r="D71" s="314">
        <v>3.0</v>
      </c>
      <c r="E71" s="314">
        <v>570.2</v>
      </c>
      <c r="F71" s="314">
        <v>570.2</v>
      </c>
      <c r="G71" s="315">
        <f t="shared" si="67"/>
        <v>1140.4</v>
      </c>
      <c r="H71" s="316">
        <v>68.6</v>
      </c>
      <c r="I71" s="316">
        <v>91.4</v>
      </c>
      <c r="J71" s="313">
        <f t="shared" si="77"/>
        <v>22.8</v>
      </c>
      <c r="K71" s="316">
        <f t="shared" si="68"/>
        <v>568.2375</v>
      </c>
      <c r="L71" s="316">
        <v>570.2</v>
      </c>
      <c r="M71" s="313">
        <f t="shared" si="69"/>
        <v>1.9625</v>
      </c>
      <c r="N71" s="313">
        <f t="shared" si="70"/>
        <v>0.051027198</v>
      </c>
      <c r="O71" s="316">
        <v>7820.0</v>
      </c>
      <c r="P71" s="313">
        <f t="shared" si="71"/>
        <v>399.0326884</v>
      </c>
      <c r="Q71" s="317"/>
      <c r="S71" s="319" t="s">
        <v>437</v>
      </c>
      <c r="T71" s="319" t="s">
        <v>433</v>
      </c>
      <c r="W71" s="323" t="s">
        <v>438</v>
      </c>
      <c r="X71" s="313"/>
      <c r="Y71" s="314">
        <v>3.0</v>
      </c>
      <c r="Z71" s="314">
        <v>-91.4</v>
      </c>
      <c r="AA71" s="314">
        <v>-68.6</v>
      </c>
      <c r="AB71" s="315">
        <f t="shared" si="72"/>
        <v>22.8</v>
      </c>
      <c r="AC71" s="316">
        <v>535.0</v>
      </c>
      <c r="AD71" s="316">
        <v>535.0</v>
      </c>
      <c r="AE71" s="313">
        <f t="shared" si="73"/>
        <v>1070</v>
      </c>
      <c r="AF71" s="316">
        <v>570.2</v>
      </c>
      <c r="AG71" s="314">
        <v>568.2375</v>
      </c>
      <c r="AH71" s="313">
        <f t="shared" si="74"/>
        <v>1.9625</v>
      </c>
      <c r="AI71" s="313">
        <f t="shared" si="75"/>
        <v>0.04787715</v>
      </c>
      <c r="AJ71" s="316">
        <v>7820.0</v>
      </c>
      <c r="AK71" s="313">
        <f t="shared" si="76"/>
        <v>374.399313</v>
      </c>
      <c r="AL71" s="317"/>
      <c r="AM71" s="158"/>
      <c r="AN71" s="158"/>
      <c r="AO71" s="158"/>
    </row>
    <row r="72">
      <c r="B72" s="312" t="s">
        <v>439</v>
      </c>
      <c r="C72" s="313"/>
      <c r="D72" s="314">
        <v>4.0</v>
      </c>
      <c r="E72" s="314">
        <v>570.2</v>
      </c>
      <c r="F72" s="314">
        <v>570.2</v>
      </c>
      <c r="G72" s="315">
        <f t="shared" si="67"/>
        <v>1140.4</v>
      </c>
      <c r="H72" s="316">
        <v>-91.4</v>
      </c>
      <c r="I72" s="316">
        <v>-68.6</v>
      </c>
      <c r="J72" s="313">
        <f t="shared" si="77"/>
        <v>22.8</v>
      </c>
      <c r="K72" s="316">
        <f t="shared" si="68"/>
        <v>568.2375</v>
      </c>
      <c r="L72" s="316">
        <v>570.2</v>
      </c>
      <c r="M72" s="313">
        <f t="shared" si="69"/>
        <v>1.9625</v>
      </c>
      <c r="N72" s="313">
        <f t="shared" si="70"/>
        <v>0.051027198</v>
      </c>
      <c r="O72" s="316">
        <v>7820.0</v>
      </c>
      <c r="P72" s="313">
        <f t="shared" si="71"/>
        <v>399.0326884</v>
      </c>
      <c r="Q72" s="317"/>
      <c r="S72" s="319" t="s">
        <v>439</v>
      </c>
      <c r="T72" s="319" t="s">
        <v>433</v>
      </c>
      <c r="W72" s="312" t="s">
        <v>440</v>
      </c>
      <c r="X72" s="313"/>
      <c r="Y72" s="314">
        <v>4.0</v>
      </c>
      <c r="Z72" s="314">
        <v>68.6</v>
      </c>
      <c r="AA72" s="314">
        <v>91.4</v>
      </c>
      <c r="AB72" s="315">
        <f t="shared" si="72"/>
        <v>22.8</v>
      </c>
      <c r="AC72" s="316">
        <v>535.0</v>
      </c>
      <c r="AD72" s="316">
        <v>535.0</v>
      </c>
      <c r="AE72" s="313">
        <f t="shared" si="73"/>
        <v>1070</v>
      </c>
      <c r="AF72" s="316">
        <v>570.2</v>
      </c>
      <c r="AG72" s="314">
        <v>568.2375</v>
      </c>
      <c r="AH72" s="313">
        <f t="shared" si="74"/>
        <v>1.9625</v>
      </c>
      <c r="AI72" s="313">
        <f t="shared" si="75"/>
        <v>0.04787715</v>
      </c>
      <c r="AJ72" s="316">
        <v>7820.0</v>
      </c>
      <c r="AK72" s="313">
        <f t="shared" si="76"/>
        <v>374.399313</v>
      </c>
      <c r="AL72" s="317"/>
      <c r="AM72" s="158"/>
      <c r="AN72" s="158"/>
      <c r="AO72" s="158"/>
    </row>
    <row r="73">
      <c r="B73" s="312" t="s">
        <v>441</v>
      </c>
      <c r="C73" s="313"/>
      <c r="D73" s="314">
        <v>5.0</v>
      </c>
      <c r="E73" s="314">
        <v>570.2</v>
      </c>
      <c r="F73" s="314">
        <v>570.2</v>
      </c>
      <c r="G73" s="315">
        <f t="shared" si="67"/>
        <v>1140.4</v>
      </c>
      <c r="H73" s="316">
        <v>-251.4</v>
      </c>
      <c r="I73" s="316">
        <v>-228.6</v>
      </c>
      <c r="J73" s="313">
        <f t="shared" si="77"/>
        <v>22.8</v>
      </c>
      <c r="K73" s="316">
        <f t="shared" si="68"/>
        <v>568.2375</v>
      </c>
      <c r="L73" s="316">
        <v>570.2</v>
      </c>
      <c r="M73" s="313">
        <f t="shared" si="69"/>
        <v>1.9625</v>
      </c>
      <c r="N73" s="313">
        <f t="shared" si="70"/>
        <v>0.051027198</v>
      </c>
      <c r="O73" s="316">
        <v>7820.0</v>
      </c>
      <c r="P73" s="313">
        <f t="shared" si="71"/>
        <v>399.0326884</v>
      </c>
      <c r="Q73" s="317"/>
      <c r="S73" s="319" t="s">
        <v>441</v>
      </c>
      <c r="T73" s="319" t="s">
        <v>433</v>
      </c>
      <c r="W73" s="312" t="s">
        <v>442</v>
      </c>
      <c r="X73" s="313"/>
      <c r="Y73" s="314">
        <v>5.0</v>
      </c>
      <c r="Z73" s="314">
        <v>228.6</v>
      </c>
      <c r="AA73" s="314">
        <v>251.4</v>
      </c>
      <c r="AB73" s="315">
        <f t="shared" si="72"/>
        <v>22.8</v>
      </c>
      <c r="AC73" s="316">
        <v>535.0</v>
      </c>
      <c r="AD73" s="316">
        <v>535.0</v>
      </c>
      <c r="AE73" s="313">
        <f t="shared" si="73"/>
        <v>1070</v>
      </c>
      <c r="AF73" s="316">
        <v>570.2</v>
      </c>
      <c r="AG73" s="314">
        <v>568.2375</v>
      </c>
      <c r="AH73" s="313">
        <f t="shared" si="74"/>
        <v>1.9625</v>
      </c>
      <c r="AI73" s="313">
        <f t="shared" si="75"/>
        <v>0.04787715</v>
      </c>
      <c r="AJ73" s="316">
        <v>7820.0</v>
      </c>
      <c r="AK73" s="313">
        <f t="shared" si="76"/>
        <v>374.399313</v>
      </c>
      <c r="AL73" s="317"/>
      <c r="AM73" s="158"/>
      <c r="AN73" s="158"/>
      <c r="AO73" s="158"/>
    </row>
    <row r="74">
      <c r="B74" s="312" t="s">
        <v>443</v>
      </c>
      <c r="C74" s="313"/>
      <c r="D74" s="314">
        <v>6.0</v>
      </c>
      <c r="E74" s="314">
        <v>570.2</v>
      </c>
      <c r="F74" s="314">
        <v>570.2</v>
      </c>
      <c r="G74" s="315">
        <f t="shared" si="67"/>
        <v>1140.4</v>
      </c>
      <c r="H74" s="316">
        <v>-411.4</v>
      </c>
      <c r="I74" s="316">
        <v>-388.6</v>
      </c>
      <c r="J74" s="313">
        <f t="shared" si="77"/>
        <v>22.8</v>
      </c>
      <c r="K74" s="316">
        <f t="shared" si="68"/>
        <v>568.2375</v>
      </c>
      <c r="L74" s="316">
        <v>570.2</v>
      </c>
      <c r="M74" s="313">
        <f t="shared" si="69"/>
        <v>1.9625</v>
      </c>
      <c r="N74" s="313">
        <f t="shared" si="70"/>
        <v>0.051027198</v>
      </c>
      <c r="O74" s="316">
        <v>7820.0</v>
      </c>
      <c r="P74" s="313">
        <f t="shared" si="71"/>
        <v>399.0326884</v>
      </c>
      <c r="Q74" s="317"/>
      <c r="S74" s="319" t="s">
        <v>443</v>
      </c>
      <c r="T74" s="319" t="s">
        <v>433</v>
      </c>
      <c r="W74" s="312" t="s">
        <v>444</v>
      </c>
      <c r="X74" s="313"/>
      <c r="Y74" s="314">
        <v>6.0</v>
      </c>
      <c r="Z74" s="314">
        <v>388.6</v>
      </c>
      <c r="AA74" s="314">
        <v>411.4</v>
      </c>
      <c r="AB74" s="315">
        <f t="shared" si="72"/>
        <v>22.8</v>
      </c>
      <c r="AC74" s="316">
        <v>535.0</v>
      </c>
      <c r="AD74" s="316">
        <v>535.0</v>
      </c>
      <c r="AE74" s="313">
        <f t="shared" si="73"/>
        <v>1070</v>
      </c>
      <c r="AF74" s="316">
        <v>570.2</v>
      </c>
      <c r="AG74" s="314">
        <v>568.2375</v>
      </c>
      <c r="AH74" s="313">
        <f t="shared" si="74"/>
        <v>1.9625</v>
      </c>
      <c r="AI74" s="313">
        <f t="shared" si="75"/>
        <v>0.04787715</v>
      </c>
      <c r="AJ74" s="316">
        <v>7820.0</v>
      </c>
      <c r="AK74" s="313">
        <f t="shared" si="76"/>
        <v>374.399313</v>
      </c>
      <c r="AL74" s="317"/>
      <c r="AM74" s="158"/>
      <c r="AN74" s="158"/>
      <c r="AO74" s="158"/>
    </row>
    <row r="75">
      <c r="B75" s="320"/>
      <c r="C75" s="313"/>
      <c r="D75" s="316" t="s">
        <v>294</v>
      </c>
      <c r="E75" s="313"/>
      <c r="F75" s="313"/>
      <c r="G75" s="313"/>
      <c r="H75" s="313"/>
      <c r="I75" s="313"/>
      <c r="J75" s="313"/>
      <c r="K75" s="313"/>
      <c r="L75" s="313"/>
      <c r="M75" s="313"/>
      <c r="N75" s="313">
        <f>SUM(N69:N74)</f>
        <v>0.306163188</v>
      </c>
      <c r="O75" s="313"/>
      <c r="P75" s="313">
        <f>SUM(P69:P74)</f>
        <v>2394.19613</v>
      </c>
      <c r="Q75" s="317"/>
      <c r="R75" s="286"/>
      <c r="S75" s="321"/>
      <c r="T75" s="321"/>
      <c r="U75" s="321"/>
      <c r="V75" s="321"/>
      <c r="W75" s="320"/>
      <c r="X75" s="313"/>
      <c r="Y75" s="316" t="s">
        <v>294</v>
      </c>
      <c r="Z75" s="313"/>
      <c r="AA75" s="313"/>
      <c r="AB75" s="313"/>
      <c r="AC75" s="313"/>
      <c r="AD75" s="313"/>
      <c r="AE75" s="313"/>
      <c r="AF75" s="313"/>
      <c r="AG75" s="313"/>
      <c r="AH75" s="313"/>
      <c r="AI75" s="313">
        <f>SUM(AI69:AI74)</f>
        <v>0.2872629</v>
      </c>
      <c r="AJ75" s="313"/>
      <c r="AK75" s="313">
        <f>SUM(AK69:AK74)</f>
        <v>2246.395878</v>
      </c>
      <c r="AL75" s="317"/>
      <c r="AM75" s="158">
        <f>AI75+N75</f>
        <v>0.593426088</v>
      </c>
      <c r="AN75" s="158"/>
      <c r="AO75" s="158"/>
    </row>
    <row r="76">
      <c r="B76" s="320"/>
      <c r="C76" s="313"/>
      <c r="D76" s="313"/>
      <c r="E76" s="313"/>
      <c r="F76" s="313"/>
      <c r="G76" s="313"/>
      <c r="H76" s="313"/>
      <c r="I76" s="313"/>
      <c r="J76" s="313"/>
      <c r="K76" s="313"/>
      <c r="L76" s="313"/>
      <c r="M76" s="313"/>
      <c r="N76" s="313"/>
      <c r="O76" s="313"/>
      <c r="P76" s="313">
        <f>P75/1000</f>
        <v>2.39419613</v>
      </c>
      <c r="Q76" s="322" t="s">
        <v>356</v>
      </c>
      <c r="S76" s="321"/>
      <c r="T76" s="321"/>
      <c r="U76" s="321"/>
      <c r="V76" s="321"/>
      <c r="W76" s="320"/>
      <c r="X76" s="313"/>
      <c r="Y76" s="313"/>
      <c r="Z76" s="313"/>
      <c r="AA76" s="313"/>
      <c r="AB76" s="313"/>
      <c r="AC76" s="313"/>
      <c r="AD76" s="313"/>
      <c r="AE76" s="313"/>
      <c r="AF76" s="313"/>
      <c r="AG76" s="313"/>
      <c r="AH76" s="313"/>
      <c r="AI76" s="313"/>
      <c r="AJ76" s="313"/>
      <c r="AK76" s="313">
        <f>AK75/1000</f>
        <v>2.246395878</v>
      </c>
      <c r="AL76" s="322" t="s">
        <v>356</v>
      </c>
      <c r="AM76" s="307"/>
      <c r="AN76" s="307"/>
      <c r="AO76" s="307"/>
    </row>
    <row r="77">
      <c r="B77" s="320"/>
      <c r="C77" s="313"/>
      <c r="D77" s="313"/>
      <c r="E77" s="313"/>
      <c r="F77" s="313"/>
      <c r="G77" s="313"/>
      <c r="H77" s="313"/>
      <c r="I77" s="313"/>
      <c r="J77" s="313"/>
      <c r="K77" s="313"/>
      <c r="L77" s="313"/>
      <c r="M77" s="313"/>
      <c r="N77" s="313"/>
      <c r="O77" s="313"/>
      <c r="P77" s="313"/>
      <c r="Q77" s="322"/>
      <c r="S77" s="321"/>
      <c r="T77" s="321"/>
      <c r="U77" s="321"/>
      <c r="V77" s="321"/>
      <c r="W77" s="320"/>
      <c r="X77" s="313"/>
      <c r="Y77" s="313"/>
      <c r="Z77" s="313"/>
      <c r="AA77" s="313"/>
      <c r="AB77" s="313"/>
      <c r="AC77" s="313"/>
      <c r="AD77" s="313"/>
      <c r="AE77" s="313"/>
      <c r="AF77" s="313"/>
      <c r="AG77" s="313"/>
      <c r="AH77" s="313"/>
      <c r="AI77" s="313"/>
      <c r="AJ77" s="313"/>
      <c r="AK77" s="313"/>
      <c r="AL77" s="322"/>
      <c r="AM77" s="307"/>
      <c r="AN77" s="307"/>
      <c r="AO77" s="307"/>
    </row>
    <row r="78">
      <c r="B78" s="323" t="s">
        <v>330</v>
      </c>
      <c r="C78" s="316" t="s">
        <v>357</v>
      </c>
      <c r="D78" s="316" t="s">
        <v>431</v>
      </c>
      <c r="E78" s="316" t="s">
        <v>333</v>
      </c>
      <c r="F78" s="316" t="s">
        <v>334</v>
      </c>
      <c r="G78" s="316" t="s">
        <v>335</v>
      </c>
      <c r="H78" s="316" t="s">
        <v>336</v>
      </c>
      <c r="I78" s="316" t="s">
        <v>337</v>
      </c>
      <c r="J78" s="316" t="s">
        <v>338</v>
      </c>
      <c r="K78" s="316" t="s">
        <v>339</v>
      </c>
      <c r="L78" s="316" t="s">
        <v>340</v>
      </c>
      <c r="M78" s="316" t="s">
        <v>341</v>
      </c>
      <c r="N78" s="316" t="s">
        <v>235</v>
      </c>
      <c r="O78" s="316" t="s">
        <v>342</v>
      </c>
      <c r="P78" s="316" t="s">
        <v>229</v>
      </c>
      <c r="Q78" s="317"/>
      <c r="S78" s="321"/>
      <c r="T78" s="321"/>
      <c r="U78" s="321"/>
      <c r="V78" s="321"/>
      <c r="W78" s="323" t="s">
        <v>330</v>
      </c>
      <c r="X78" s="316" t="s">
        <v>357</v>
      </c>
      <c r="Y78" s="362" t="s">
        <v>431</v>
      </c>
      <c r="Z78" s="316" t="s">
        <v>333</v>
      </c>
      <c r="AA78" s="316" t="s">
        <v>334</v>
      </c>
      <c r="AB78" s="316" t="s">
        <v>335</v>
      </c>
      <c r="AC78" s="316" t="s">
        <v>336</v>
      </c>
      <c r="AD78" s="316" t="s">
        <v>337</v>
      </c>
      <c r="AE78" s="316" t="s">
        <v>338</v>
      </c>
      <c r="AF78" s="316" t="s">
        <v>339</v>
      </c>
      <c r="AG78" s="316" t="s">
        <v>340</v>
      </c>
      <c r="AH78" s="316" t="s">
        <v>341</v>
      </c>
      <c r="AI78" s="316" t="s">
        <v>235</v>
      </c>
      <c r="AJ78" s="316" t="s">
        <v>342</v>
      </c>
      <c r="AK78" s="316" t="s">
        <v>229</v>
      </c>
      <c r="AL78" s="317"/>
      <c r="AM78" s="158"/>
      <c r="AN78" s="158"/>
      <c r="AO78" s="158"/>
    </row>
    <row r="79">
      <c r="B79" s="312" t="s">
        <v>445</v>
      </c>
      <c r="C79" s="313"/>
      <c r="D79" s="316">
        <v>1.0</v>
      </c>
      <c r="E79" s="316">
        <f t="shared" ref="E79:E84" si="78">-570.2</f>
        <v>-570.2</v>
      </c>
      <c r="F79" s="316">
        <f t="shared" ref="F79:F84" si="79">E79+1.9625</f>
        <v>-568.2375</v>
      </c>
      <c r="G79" s="315">
        <f t="shared" ref="G79:G84" si="80">F79-E79</f>
        <v>1.9625</v>
      </c>
      <c r="H79" s="316">
        <v>388.6</v>
      </c>
      <c r="I79" s="316">
        <v>411.4</v>
      </c>
      <c r="J79" s="313">
        <f t="shared" ref="J79:J84" si="81">I79-H79</f>
        <v>22.8</v>
      </c>
      <c r="K79" s="316">
        <v>508.4</v>
      </c>
      <c r="L79" s="316">
        <v>508.4</v>
      </c>
      <c r="M79" s="313">
        <f t="shared" ref="M79:M84" si="82">L79+K79</f>
        <v>1016.8</v>
      </c>
      <c r="N79" s="313">
        <f t="shared" ref="N79:N84" si="83">(G79*J79*M79)/1000000</f>
        <v>0.045496716</v>
      </c>
      <c r="O79" s="316">
        <v>7820.0</v>
      </c>
      <c r="P79" s="313">
        <f t="shared" ref="P79:P84" si="84">N79*O79</f>
        <v>355.7843191</v>
      </c>
      <c r="Q79" s="317"/>
      <c r="S79" s="319" t="s">
        <v>358</v>
      </c>
      <c r="T79" s="363" t="s">
        <v>446</v>
      </c>
      <c r="W79" s="312" t="s">
        <v>447</v>
      </c>
      <c r="X79" s="313"/>
      <c r="Y79" s="314">
        <v>1.0</v>
      </c>
      <c r="Z79" s="314">
        <v>-411.4</v>
      </c>
      <c r="AA79" s="314">
        <v>-388.6</v>
      </c>
      <c r="AB79" s="315">
        <f t="shared" ref="AB79:AB84" si="85">AA79-Z79</f>
        <v>22.8</v>
      </c>
      <c r="AC79" s="316">
        <v>535.0</v>
      </c>
      <c r="AD79" s="316">
        <v>535.0</v>
      </c>
      <c r="AE79" s="313">
        <f t="shared" ref="AE79:AE84" si="86">AD79+AC79</f>
        <v>1070</v>
      </c>
      <c r="AF79" s="316">
        <v>-570.2</v>
      </c>
      <c r="AG79" s="314">
        <v>-568.2375</v>
      </c>
      <c r="AH79" s="313">
        <f t="shared" ref="AH79:AH84" si="87">AG79-AF79</f>
        <v>1.9625</v>
      </c>
      <c r="AI79" s="313">
        <f t="shared" ref="AI79:AI84" si="88">(AB79*AE79*AH79)/1000000</f>
        <v>0.04787715</v>
      </c>
      <c r="AJ79" s="316">
        <v>7820.0</v>
      </c>
      <c r="AK79" s="313">
        <f t="shared" ref="AK79:AK84" si="89">AI79*AJ79</f>
        <v>374.399313</v>
      </c>
      <c r="AL79" s="317"/>
      <c r="AM79" s="158"/>
      <c r="AN79" s="158"/>
      <c r="AO79" s="158"/>
    </row>
    <row r="80">
      <c r="B80" s="323" t="s">
        <v>448</v>
      </c>
      <c r="C80" s="313"/>
      <c r="D80" s="316">
        <v>2.0</v>
      </c>
      <c r="E80" s="316">
        <f t="shared" si="78"/>
        <v>-570.2</v>
      </c>
      <c r="F80" s="316">
        <f t="shared" si="79"/>
        <v>-568.2375</v>
      </c>
      <c r="G80" s="315">
        <f t="shared" si="80"/>
        <v>1.9625</v>
      </c>
      <c r="H80" s="316">
        <v>228.6</v>
      </c>
      <c r="I80" s="316">
        <v>251.4</v>
      </c>
      <c r="J80" s="313">
        <f t="shared" si="81"/>
        <v>22.8</v>
      </c>
      <c r="K80" s="316">
        <v>508.4</v>
      </c>
      <c r="L80" s="316">
        <v>508.4</v>
      </c>
      <c r="M80" s="313">
        <f t="shared" si="82"/>
        <v>1016.8</v>
      </c>
      <c r="N80" s="313">
        <f t="shared" si="83"/>
        <v>0.045496716</v>
      </c>
      <c r="O80" s="316">
        <v>7820.0</v>
      </c>
      <c r="P80" s="313">
        <f t="shared" si="84"/>
        <v>355.7843191</v>
      </c>
      <c r="Q80" s="317"/>
      <c r="S80" s="319" t="s">
        <v>361</v>
      </c>
      <c r="T80" s="363" t="s">
        <v>446</v>
      </c>
      <c r="W80" s="312" t="s">
        <v>449</v>
      </c>
      <c r="X80" s="313"/>
      <c r="Y80" s="314">
        <v>2.0</v>
      </c>
      <c r="Z80" s="314">
        <v>-251.4</v>
      </c>
      <c r="AA80" s="314">
        <v>-228.6</v>
      </c>
      <c r="AB80" s="315">
        <f t="shared" si="85"/>
        <v>22.8</v>
      </c>
      <c r="AC80" s="316">
        <v>535.0</v>
      </c>
      <c r="AD80" s="316">
        <v>535.0</v>
      </c>
      <c r="AE80" s="313">
        <f t="shared" si="86"/>
        <v>1070</v>
      </c>
      <c r="AF80" s="316">
        <v>-570.2</v>
      </c>
      <c r="AG80" s="314">
        <v>-568.2375</v>
      </c>
      <c r="AH80" s="313">
        <f t="shared" si="87"/>
        <v>1.9625</v>
      </c>
      <c r="AI80" s="313">
        <f t="shared" si="88"/>
        <v>0.04787715</v>
      </c>
      <c r="AJ80" s="316">
        <v>7820.0</v>
      </c>
      <c r="AK80" s="313">
        <f t="shared" si="89"/>
        <v>374.399313</v>
      </c>
      <c r="AL80" s="317"/>
      <c r="AM80" s="158"/>
      <c r="AN80" s="158"/>
      <c r="AO80" s="158"/>
    </row>
    <row r="81">
      <c r="B81" s="323" t="s">
        <v>450</v>
      </c>
      <c r="C81" s="313"/>
      <c r="D81" s="316">
        <v>3.0</v>
      </c>
      <c r="E81" s="316">
        <f t="shared" si="78"/>
        <v>-570.2</v>
      </c>
      <c r="F81" s="316">
        <f t="shared" si="79"/>
        <v>-568.2375</v>
      </c>
      <c r="G81" s="315">
        <f t="shared" si="80"/>
        <v>1.9625</v>
      </c>
      <c r="H81" s="316">
        <v>68.6</v>
      </c>
      <c r="I81" s="316">
        <v>91.4</v>
      </c>
      <c r="J81" s="313">
        <f t="shared" si="81"/>
        <v>22.8</v>
      </c>
      <c r="K81" s="316">
        <v>508.4</v>
      </c>
      <c r="L81" s="316">
        <v>508.4</v>
      </c>
      <c r="M81" s="313">
        <f t="shared" si="82"/>
        <v>1016.8</v>
      </c>
      <c r="N81" s="313">
        <f t="shared" si="83"/>
        <v>0.045496716</v>
      </c>
      <c r="O81" s="316">
        <v>7820.0</v>
      </c>
      <c r="P81" s="313">
        <f t="shared" si="84"/>
        <v>355.7843191</v>
      </c>
      <c r="Q81" s="317"/>
      <c r="S81" s="319" t="s">
        <v>363</v>
      </c>
      <c r="T81" s="363" t="s">
        <v>446</v>
      </c>
      <c r="W81" s="312" t="s">
        <v>451</v>
      </c>
      <c r="X81" s="313"/>
      <c r="Y81" s="314">
        <v>3.0</v>
      </c>
      <c r="Z81" s="314">
        <v>-91.4</v>
      </c>
      <c r="AA81" s="314">
        <v>-68.6</v>
      </c>
      <c r="AB81" s="315">
        <f t="shared" si="85"/>
        <v>22.8</v>
      </c>
      <c r="AC81" s="316">
        <v>535.0</v>
      </c>
      <c r="AD81" s="316">
        <v>535.0</v>
      </c>
      <c r="AE81" s="313">
        <f t="shared" si="86"/>
        <v>1070</v>
      </c>
      <c r="AF81" s="316">
        <v>-570.2</v>
      </c>
      <c r="AG81" s="314">
        <v>-568.2375</v>
      </c>
      <c r="AH81" s="313">
        <f t="shared" si="87"/>
        <v>1.9625</v>
      </c>
      <c r="AI81" s="313">
        <f t="shared" si="88"/>
        <v>0.04787715</v>
      </c>
      <c r="AJ81" s="316">
        <v>7820.0</v>
      </c>
      <c r="AK81" s="313">
        <f t="shared" si="89"/>
        <v>374.399313</v>
      </c>
      <c r="AL81" s="317"/>
      <c r="AM81" s="158"/>
      <c r="AN81" s="158"/>
      <c r="AO81" s="158"/>
    </row>
    <row r="82">
      <c r="B82" s="323" t="s">
        <v>452</v>
      </c>
      <c r="C82" s="313"/>
      <c r="D82" s="316">
        <v>4.0</v>
      </c>
      <c r="E82" s="316">
        <f t="shared" si="78"/>
        <v>-570.2</v>
      </c>
      <c r="F82" s="316">
        <f t="shared" si="79"/>
        <v>-568.2375</v>
      </c>
      <c r="G82" s="315">
        <f t="shared" si="80"/>
        <v>1.9625</v>
      </c>
      <c r="H82" s="316">
        <v>-91.4</v>
      </c>
      <c r="I82" s="316">
        <v>-68.6</v>
      </c>
      <c r="J82" s="313">
        <f t="shared" si="81"/>
        <v>22.8</v>
      </c>
      <c r="K82" s="316">
        <v>508.4</v>
      </c>
      <c r="L82" s="316">
        <v>508.4</v>
      </c>
      <c r="M82" s="313">
        <f t="shared" si="82"/>
        <v>1016.8</v>
      </c>
      <c r="N82" s="313">
        <f t="shared" si="83"/>
        <v>0.045496716</v>
      </c>
      <c r="O82" s="316">
        <v>7820.0</v>
      </c>
      <c r="P82" s="313">
        <f t="shared" si="84"/>
        <v>355.7843191</v>
      </c>
      <c r="Q82" s="317"/>
      <c r="S82" s="319" t="s">
        <v>365</v>
      </c>
      <c r="T82" s="363" t="s">
        <v>446</v>
      </c>
      <c r="W82" s="312" t="s">
        <v>453</v>
      </c>
      <c r="X82" s="313"/>
      <c r="Y82" s="314">
        <v>4.0</v>
      </c>
      <c r="Z82" s="314">
        <v>68.6</v>
      </c>
      <c r="AA82" s="314">
        <v>91.4</v>
      </c>
      <c r="AB82" s="315">
        <f t="shared" si="85"/>
        <v>22.8</v>
      </c>
      <c r="AC82" s="316">
        <v>535.0</v>
      </c>
      <c r="AD82" s="316">
        <v>535.0</v>
      </c>
      <c r="AE82" s="313">
        <f t="shared" si="86"/>
        <v>1070</v>
      </c>
      <c r="AF82" s="316">
        <v>-570.2</v>
      </c>
      <c r="AG82" s="314">
        <v>-568.2375</v>
      </c>
      <c r="AH82" s="313">
        <f t="shared" si="87"/>
        <v>1.9625</v>
      </c>
      <c r="AI82" s="313">
        <f t="shared" si="88"/>
        <v>0.04787715</v>
      </c>
      <c r="AJ82" s="316">
        <v>7820.0</v>
      </c>
      <c r="AK82" s="313">
        <f t="shared" si="89"/>
        <v>374.399313</v>
      </c>
      <c r="AL82" s="317"/>
      <c r="AM82" s="158"/>
      <c r="AN82" s="158"/>
      <c r="AO82" s="158"/>
    </row>
    <row r="83">
      <c r="B83" s="323" t="s">
        <v>454</v>
      </c>
      <c r="C83" s="313"/>
      <c r="D83" s="316">
        <v>5.0</v>
      </c>
      <c r="E83" s="316">
        <f t="shared" si="78"/>
        <v>-570.2</v>
      </c>
      <c r="F83" s="316">
        <f t="shared" si="79"/>
        <v>-568.2375</v>
      </c>
      <c r="G83" s="315">
        <f t="shared" si="80"/>
        <v>1.9625</v>
      </c>
      <c r="H83" s="316">
        <v>-252.1</v>
      </c>
      <c r="I83" s="316">
        <v>-229.3</v>
      </c>
      <c r="J83" s="313">
        <f t="shared" si="81"/>
        <v>22.8</v>
      </c>
      <c r="K83" s="316">
        <v>508.4</v>
      </c>
      <c r="L83" s="316">
        <v>508.4</v>
      </c>
      <c r="M83" s="313">
        <f t="shared" si="82"/>
        <v>1016.8</v>
      </c>
      <c r="N83" s="313">
        <f t="shared" si="83"/>
        <v>0.045496716</v>
      </c>
      <c r="O83" s="316">
        <v>7820.0</v>
      </c>
      <c r="P83" s="313">
        <f t="shared" si="84"/>
        <v>355.7843191</v>
      </c>
      <c r="Q83" s="317"/>
      <c r="S83" s="319" t="s">
        <v>367</v>
      </c>
      <c r="T83" s="363" t="s">
        <v>446</v>
      </c>
      <c r="W83" s="312" t="s">
        <v>455</v>
      </c>
      <c r="X83" s="313"/>
      <c r="Y83" s="314">
        <v>5.0</v>
      </c>
      <c r="Z83" s="314">
        <v>228.6</v>
      </c>
      <c r="AA83" s="314">
        <v>251.4</v>
      </c>
      <c r="AB83" s="315">
        <f t="shared" si="85"/>
        <v>22.8</v>
      </c>
      <c r="AC83" s="316">
        <v>535.0</v>
      </c>
      <c r="AD83" s="316">
        <v>535.0</v>
      </c>
      <c r="AE83" s="313">
        <f t="shared" si="86"/>
        <v>1070</v>
      </c>
      <c r="AF83" s="316">
        <v>-570.2</v>
      </c>
      <c r="AG83" s="314">
        <v>-568.2375</v>
      </c>
      <c r="AH83" s="313">
        <f t="shared" si="87"/>
        <v>1.9625</v>
      </c>
      <c r="AI83" s="313">
        <f t="shared" si="88"/>
        <v>0.04787715</v>
      </c>
      <c r="AJ83" s="316">
        <v>7820.0</v>
      </c>
      <c r="AK83" s="313">
        <f t="shared" si="89"/>
        <v>374.399313</v>
      </c>
      <c r="AL83" s="317"/>
      <c r="AM83" s="158"/>
      <c r="AN83" s="158"/>
      <c r="AO83" s="158"/>
    </row>
    <row r="84">
      <c r="B84" s="323" t="s">
        <v>456</v>
      </c>
      <c r="C84" s="313"/>
      <c r="D84" s="316">
        <v>6.0</v>
      </c>
      <c r="E84" s="316">
        <f t="shared" si="78"/>
        <v>-570.2</v>
      </c>
      <c r="F84" s="316">
        <f t="shared" si="79"/>
        <v>-568.2375</v>
      </c>
      <c r="G84" s="315">
        <f t="shared" si="80"/>
        <v>1.9625</v>
      </c>
      <c r="H84" s="316">
        <v>-411.4</v>
      </c>
      <c r="I84" s="316">
        <v>-388.6</v>
      </c>
      <c r="J84" s="313">
        <f t="shared" si="81"/>
        <v>22.8</v>
      </c>
      <c r="K84" s="316">
        <v>508.4</v>
      </c>
      <c r="L84" s="316">
        <v>508.4</v>
      </c>
      <c r="M84" s="313">
        <f t="shared" si="82"/>
        <v>1016.8</v>
      </c>
      <c r="N84" s="313">
        <f t="shared" si="83"/>
        <v>0.045496716</v>
      </c>
      <c r="O84" s="316">
        <v>7820.0</v>
      </c>
      <c r="P84" s="313">
        <f t="shared" si="84"/>
        <v>355.7843191</v>
      </c>
      <c r="Q84" s="317"/>
      <c r="S84" s="319" t="s">
        <v>369</v>
      </c>
      <c r="T84" s="363" t="s">
        <v>446</v>
      </c>
      <c r="U84" s="319"/>
      <c r="V84" s="319"/>
      <c r="W84" s="312" t="s">
        <v>457</v>
      </c>
      <c r="X84" s="313"/>
      <c r="Y84" s="314">
        <v>6.0</v>
      </c>
      <c r="Z84" s="314">
        <v>388.6</v>
      </c>
      <c r="AA84" s="314">
        <v>411.4</v>
      </c>
      <c r="AB84" s="315">
        <f t="shared" si="85"/>
        <v>22.8</v>
      </c>
      <c r="AC84" s="316">
        <v>535.0</v>
      </c>
      <c r="AD84" s="316">
        <v>535.0</v>
      </c>
      <c r="AE84" s="313">
        <f t="shared" si="86"/>
        <v>1070</v>
      </c>
      <c r="AF84" s="316">
        <v>-570.2</v>
      </c>
      <c r="AG84" s="314">
        <v>-568.2375</v>
      </c>
      <c r="AH84" s="313">
        <f t="shared" si="87"/>
        <v>1.9625</v>
      </c>
      <c r="AI84" s="313">
        <f t="shared" si="88"/>
        <v>0.04787715</v>
      </c>
      <c r="AJ84" s="316">
        <v>7820.0</v>
      </c>
      <c r="AK84" s="313">
        <f t="shared" si="89"/>
        <v>374.399313</v>
      </c>
      <c r="AL84" s="317"/>
      <c r="AM84" s="158"/>
      <c r="AN84" s="158"/>
      <c r="AO84" s="158"/>
    </row>
    <row r="85">
      <c r="B85" s="320"/>
      <c r="C85" s="313"/>
      <c r="D85" s="316" t="s">
        <v>294</v>
      </c>
      <c r="E85" s="313"/>
      <c r="F85" s="313"/>
      <c r="G85" s="313"/>
      <c r="H85" s="313"/>
      <c r="I85" s="313"/>
      <c r="J85" s="313"/>
      <c r="K85" s="313"/>
      <c r="L85" s="313"/>
      <c r="M85" s="313"/>
      <c r="N85" s="313">
        <f>SUM(N79:N84)</f>
        <v>0.272980296</v>
      </c>
      <c r="O85" s="313"/>
      <c r="P85" s="313">
        <f>SUM(P79:P84)</f>
        <v>2134.705915</v>
      </c>
      <c r="Q85" s="317"/>
      <c r="S85" s="321"/>
      <c r="T85" s="321"/>
      <c r="U85" s="321"/>
      <c r="V85" s="321"/>
      <c r="W85" s="320"/>
      <c r="X85" s="313"/>
      <c r="Y85" s="316" t="s">
        <v>294</v>
      </c>
      <c r="Z85" s="313"/>
      <c r="AA85" s="313"/>
      <c r="AB85" s="313"/>
      <c r="AC85" s="313"/>
      <c r="AD85" s="313"/>
      <c r="AE85" s="313"/>
      <c r="AF85" s="313"/>
      <c r="AG85" s="313"/>
      <c r="AH85" s="313"/>
      <c r="AI85" s="313">
        <f>SUM(AI79:AI84)</f>
        <v>0.2872629</v>
      </c>
      <c r="AJ85" s="313"/>
      <c r="AK85" s="313">
        <f>SUM(AK79:AK84)</f>
        <v>2246.395878</v>
      </c>
      <c r="AL85" s="317"/>
      <c r="AM85" s="158">
        <f>AI85+N85</f>
        <v>0.560243196</v>
      </c>
      <c r="AN85" s="158"/>
      <c r="AO85" s="158"/>
    </row>
    <row r="86">
      <c r="B86" s="324"/>
      <c r="C86" s="325"/>
      <c r="D86" s="325"/>
      <c r="E86" s="325"/>
      <c r="F86" s="325"/>
      <c r="G86" s="325"/>
      <c r="H86" s="325"/>
      <c r="I86" s="325"/>
      <c r="J86" s="325"/>
      <c r="K86" s="325"/>
      <c r="L86" s="325"/>
      <c r="M86" s="325"/>
      <c r="N86" s="325"/>
      <c r="O86" s="325"/>
      <c r="P86" s="325">
        <f>P85/1000</f>
        <v>2.134705915</v>
      </c>
      <c r="Q86" s="326" t="s">
        <v>371</v>
      </c>
      <c r="S86" s="321"/>
      <c r="T86" s="321"/>
      <c r="U86" s="321"/>
      <c r="V86" s="321"/>
      <c r="W86" s="324"/>
      <c r="X86" s="325"/>
      <c r="Y86" s="325"/>
      <c r="Z86" s="325"/>
      <c r="AA86" s="325"/>
      <c r="AB86" s="325"/>
      <c r="AC86" s="325"/>
      <c r="AD86" s="325"/>
      <c r="AE86" s="325"/>
      <c r="AF86" s="325"/>
      <c r="AG86" s="325"/>
      <c r="AH86" s="325"/>
      <c r="AI86" s="325"/>
      <c r="AJ86" s="325"/>
      <c r="AK86" s="325">
        <f>AK85/1000</f>
        <v>2.246395878</v>
      </c>
      <c r="AL86" s="326" t="s">
        <v>371</v>
      </c>
      <c r="AM86" s="307"/>
      <c r="AN86" s="307"/>
      <c r="AO86" s="307"/>
    </row>
    <row r="87">
      <c r="Q87" s="44"/>
      <c r="S87" s="321"/>
      <c r="T87" s="321"/>
      <c r="U87" s="321"/>
      <c r="V87" s="321"/>
      <c r="AM87" s="158"/>
      <c r="AN87" s="158"/>
      <c r="AO87" s="158"/>
    </row>
    <row r="88">
      <c r="B88" s="327" t="s">
        <v>330</v>
      </c>
      <c r="C88" s="328" t="s">
        <v>372</v>
      </c>
      <c r="D88" s="364" t="s">
        <v>431</v>
      </c>
      <c r="E88" s="328" t="s">
        <v>333</v>
      </c>
      <c r="F88" s="328" t="s">
        <v>334</v>
      </c>
      <c r="G88" s="328" t="s">
        <v>335</v>
      </c>
      <c r="H88" s="328" t="s">
        <v>336</v>
      </c>
      <c r="I88" s="328" t="s">
        <v>337</v>
      </c>
      <c r="J88" s="328" t="s">
        <v>338</v>
      </c>
      <c r="K88" s="328" t="s">
        <v>339</v>
      </c>
      <c r="L88" s="328" t="s">
        <v>340</v>
      </c>
      <c r="M88" s="328" t="s">
        <v>341</v>
      </c>
      <c r="N88" s="328" t="s">
        <v>235</v>
      </c>
      <c r="O88" s="328" t="s">
        <v>342</v>
      </c>
      <c r="P88" s="328" t="s">
        <v>229</v>
      </c>
      <c r="Q88" s="329"/>
      <c r="S88" s="321"/>
      <c r="T88" s="321"/>
      <c r="U88" s="321"/>
      <c r="V88" s="321"/>
      <c r="W88" s="327" t="s">
        <v>330</v>
      </c>
      <c r="X88" s="328" t="s">
        <v>372</v>
      </c>
      <c r="Y88" s="364" t="s">
        <v>431</v>
      </c>
      <c r="Z88" s="328" t="s">
        <v>333</v>
      </c>
      <c r="AA88" s="328" t="s">
        <v>334</v>
      </c>
      <c r="AB88" s="328" t="s">
        <v>335</v>
      </c>
      <c r="AC88" s="328" t="s">
        <v>336</v>
      </c>
      <c r="AD88" s="328" t="s">
        <v>337</v>
      </c>
      <c r="AE88" s="328" t="s">
        <v>338</v>
      </c>
      <c r="AF88" s="328" t="s">
        <v>339</v>
      </c>
      <c r="AG88" s="328" t="s">
        <v>340</v>
      </c>
      <c r="AH88" s="328" t="s">
        <v>341</v>
      </c>
      <c r="AI88" s="328" t="s">
        <v>235</v>
      </c>
      <c r="AJ88" s="328" t="s">
        <v>342</v>
      </c>
      <c r="AK88" s="328" t="s">
        <v>229</v>
      </c>
      <c r="AL88" s="329"/>
      <c r="AM88" s="158"/>
      <c r="AN88" s="158"/>
      <c r="AO88" s="158"/>
    </row>
    <row r="89">
      <c r="B89" s="330" t="s">
        <v>458</v>
      </c>
      <c r="C89" s="331"/>
      <c r="D89" s="332">
        <v>1.0</v>
      </c>
      <c r="E89" s="333">
        <v>508.4</v>
      </c>
      <c r="F89" s="333">
        <v>508.4</v>
      </c>
      <c r="G89" s="334">
        <f t="shared" ref="G89:G94" si="90">SUM(E89:F89)</f>
        <v>1016.8</v>
      </c>
      <c r="H89" s="332">
        <v>475.18</v>
      </c>
      <c r="I89" s="332">
        <f t="shared" ref="I89:I94" si="91">H89+1.9625</f>
        <v>477.1425</v>
      </c>
      <c r="J89" s="331">
        <f t="shared" ref="J89:J94" si="92">I89-H89</f>
        <v>1.9625</v>
      </c>
      <c r="K89" s="332">
        <v>-411.4</v>
      </c>
      <c r="L89" s="332">
        <v>-388.6</v>
      </c>
      <c r="M89" s="331">
        <f t="shared" ref="M89:M94" si="93">L89-K89</f>
        <v>22.8</v>
      </c>
      <c r="N89" s="331">
        <f t="shared" ref="N89:N94" si="94">(G89*J89*M89)/1000000</f>
        <v>0.045496716</v>
      </c>
      <c r="O89" s="332">
        <v>7820.0</v>
      </c>
      <c r="P89" s="331">
        <f t="shared" ref="P89:P94" si="95">N89*O89</f>
        <v>355.7843191</v>
      </c>
      <c r="Q89" s="335"/>
      <c r="S89" s="319" t="s">
        <v>374</v>
      </c>
      <c r="T89" s="319" t="s">
        <v>375</v>
      </c>
      <c r="W89" s="330" t="s">
        <v>459</v>
      </c>
      <c r="X89" s="331"/>
      <c r="Y89" s="332">
        <v>1.0</v>
      </c>
      <c r="Z89" s="333">
        <v>388.6</v>
      </c>
      <c r="AA89" s="333">
        <v>411.4</v>
      </c>
      <c r="AB89" s="334">
        <f t="shared" ref="AB89:AB94" si="96">AA89-Z89</f>
        <v>22.8</v>
      </c>
      <c r="AC89" s="332">
        <v>475.18</v>
      </c>
      <c r="AD89" s="332">
        <f t="shared" ref="AD89:AD94" si="97">AC89+1.9625</f>
        <v>477.1425</v>
      </c>
      <c r="AE89" s="331">
        <f t="shared" ref="AE89:AE94" si="98">AD89-AC89</f>
        <v>1.9625</v>
      </c>
      <c r="AF89" s="332">
        <v>508.4</v>
      </c>
      <c r="AG89" s="332">
        <v>508.4</v>
      </c>
      <c r="AH89" s="331">
        <f t="shared" ref="AH89:AH94" si="99">AF89+AG89</f>
        <v>1016.8</v>
      </c>
      <c r="AI89" s="331">
        <f t="shared" ref="AI89:AI94" si="100">(AB89*AE89*AH89)/1000000</f>
        <v>0.045496716</v>
      </c>
      <c r="AJ89" s="332">
        <v>7820.0</v>
      </c>
      <c r="AK89" s="331">
        <f t="shared" ref="AK89:AK94" si="101">AI89*AJ89</f>
        <v>355.7843191</v>
      </c>
      <c r="AL89" s="335"/>
      <c r="AM89" s="158"/>
      <c r="AN89" s="158"/>
      <c r="AO89" s="158"/>
    </row>
    <row r="90">
      <c r="B90" s="330" t="s">
        <v>460</v>
      </c>
      <c r="C90" s="331"/>
      <c r="D90" s="332">
        <v>2.0</v>
      </c>
      <c r="E90" s="333">
        <v>508.4</v>
      </c>
      <c r="F90" s="333">
        <v>508.4</v>
      </c>
      <c r="G90" s="334">
        <f t="shared" si="90"/>
        <v>1016.8</v>
      </c>
      <c r="H90" s="332">
        <v>475.18</v>
      </c>
      <c r="I90" s="332">
        <f t="shared" si="91"/>
        <v>477.1425</v>
      </c>
      <c r="J90" s="331">
        <f t="shared" si="92"/>
        <v>1.9625</v>
      </c>
      <c r="K90" s="332">
        <v>-251.4</v>
      </c>
      <c r="L90" s="332">
        <v>-228.6</v>
      </c>
      <c r="M90" s="331">
        <f t="shared" si="93"/>
        <v>22.8</v>
      </c>
      <c r="N90" s="331">
        <f t="shared" si="94"/>
        <v>0.045496716</v>
      </c>
      <c r="O90" s="332">
        <v>7820.0</v>
      </c>
      <c r="P90" s="331">
        <f t="shared" si="95"/>
        <v>355.7843191</v>
      </c>
      <c r="Q90" s="335"/>
      <c r="S90" s="319" t="s">
        <v>377</v>
      </c>
      <c r="T90" s="319" t="s">
        <v>375</v>
      </c>
      <c r="W90" s="330" t="s">
        <v>461</v>
      </c>
      <c r="X90" s="331"/>
      <c r="Y90" s="332">
        <v>2.0</v>
      </c>
      <c r="Z90" s="333">
        <v>228.6</v>
      </c>
      <c r="AA90" s="333">
        <v>251.4</v>
      </c>
      <c r="AB90" s="334">
        <f t="shared" si="96"/>
        <v>22.8</v>
      </c>
      <c r="AC90" s="332">
        <v>475.18</v>
      </c>
      <c r="AD90" s="332">
        <f t="shared" si="97"/>
        <v>477.1425</v>
      </c>
      <c r="AE90" s="331">
        <f t="shared" si="98"/>
        <v>1.9625</v>
      </c>
      <c r="AF90" s="332">
        <v>508.4</v>
      </c>
      <c r="AG90" s="332">
        <v>508.4</v>
      </c>
      <c r="AH90" s="331">
        <f t="shared" si="99"/>
        <v>1016.8</v>
      </c>
      <c r="AI90" s="331">
        <f t="shared" si="100"/>
        <v>0.045496716</v>
      </c>
      <c r="AJ90" s="332">
        <v>7820.0</v>
      </c>
      <c r="AK90" s="331">
        <f t="shared" si="101"/>
        <v>355.7843191</v>
      </c>
      <c r="AL90" s="335"/>
      <c r="AM90" s="158"/>
      <c r="AN90" s="158"/>
      <c r="AO90" s="158"/>
    </row>
    <row r="91">
      <c r="B91" s="330" t="s">
        <v>462</v>
      </c>
      <c r="C91" s="331"/>
      <c r="D91" s="332">
        <v>3.0</v>
      </c>
      <c r="E91" s="333">
        <v>508.4</v>
      </c>
      <c r="F91" s="333">
        <v>508.4</v>
      </c>
      <c r="G91" s="334">
        <f t="shared" si="90"/>
        <v>1016.8</v>
      </c>
      <c r="H91" s="332">
        <v>475.18</v>
      </c>
      <c r="I91" s="332">
        <f t="shared" si="91"/>
        <v>477.1425</v>
      </c>
      <c r="J91" s="331">
        <f t="shared" si="92"/>
        <v>1.9625</v>
      </c>
      <c r="K91" s="332">
        <v>-91.4</v>
      </c>
      <c r="L91" s="332">
        <v>-68.6</v>
      </c>
      <c r="M91" s="331">
        <f t="shared" si="93"/>
        <v>22.8</v>
      </c>
      <c r="N91" s="331">
        <f t="shared" si="94"/>
        <v>0.045496716</v>
      </c>
      <c r="O91" s="332">
        <v>7820.0</v>
      </c>
      <c r="P91" s="331">
        <f t="shared" si="95"/>
        <v>355.7843191</v>
      </c>
      <c r="Q91" s="335"/>
      <c r="S91" s="319" t="s">
        <v>379</v>
      </c>
      <c r="T91" s="319" t="s">
        <v>375</v>
      </c>
      <c r="W91" s="330" t="s">
        <v>463</v>
      </c>
      <c r="X91" s="331"/>
      <c r="Y91" s="332">
        <v>3.0</v>
      </c>
      <c r="Z91" s="333">
        <v>68.6</v>
      </c>
      <c r="AA91" s="333">
        <v>91.4</v>
      </c>
      <c r="AB91" s="334">
        <f t="shared" si="96"/>
        <v>22.8</v>
      </c>
      <c r="AC91" s="332">
        <v>475.18</v>
      </c>
      <c r="AD91" s="332">
        <f t="shared" si="97"/>
        <v>477.1425</v>
      </c>
      <c r="AE91" s="331">
        <f t="shared" si="98"/>
        <v>1.9625</v>
      </c>
      <c r="AF91" s="332">
        <v>508.4</v>
      </c>
      <c r="AG91" s="332">
        <v>508.4</v>
      </c>
      <c r="AH91" s="331">
        <f t="shared" si="99"/>
        <v>1016.8</v>
      </c>
      <c r="AI91" s="331">
        <f t="shared" si="100"/>
        <v>0.045496716</v>
      </c>
      <c r="AJ91" s="332">
        <v>7820.0</v>
      </c>
      <c r="AK91" s="331">
        <f t="shared" si="101"/>
        <v>355.7843191</v>
      </c>
      <c r="AL91" s="335"/>
      <c r="AM91" s="158"/>
      <c r="AN91" s="158"/>
      <c r="AO91" s="158"/>
    </row>
    <row r="92">
      <c r="B92" s="330" t="s">
        <v>464</v>
      </c>
      <c r="C92" s="331"/>
      <c r="D92" s="332">
        <v>4.0</v>
      </c>
      <c r="E92" s="333">
        <v>508.4</v>
      </c>
      <c r="F92" s="333">
        <v>508.4</v>
      </c>
      <c r="G92" s="334">
        <f t="shared" si="90"/>
        <v>1016.8</v>
      </c>
      <c r="H92" s="332">
        <v>475.18</v>
      </c>
      <c r="I92" s="332">
        <f t="shared" si="91"/>
        <v>477.1425</v>
      </c>
      <c r="J92" s="331">
        <f t="shared" si="92"/>
        <v>1.9625</v>
      </c>
      <c r="K92" s="332">
        <v>68.6</v>
      </c>
      <c r="L92" s="332">
        <v>91.4</v>
      </c>
      <c r="M92" s="331">
        <f t="shared" si="93"/>
        <v>22.8</v>
      </c>
      <c r="N92" s="331">
        <f t="shared" si="94"/>
        <v>0.045496716</v>
      </c>
      <c r="O92" s="332">
        <v>7820.0</v>
      </c>
      <c r="P92" s="331">
        <f t="shared" si="95"/>
        <v>355.7843191</v>
      </c>
      <c r="Q92" s="335"/>
      <c r="S92" s="319" t="s">
        <v>381</v>
      </c>
      <c r="T92" s="319" t="s">
        <v>375</v>
      </c>
      <c r="W92" s="330" t="s">
        <v>465</v>
      </c>
      <c r="X92" s="331"/>
      <c r="Y92" s="332">
        <v>4.0</v>
      </c>
      <c r="Z92" s="333">
        <v>-91.4</v>
      </c>
      <c r="AA92" s="333">
        <v>-68.6</v>
      </c>
      <c r="AB92" s="334">
        <f t="shared" si="96"/>
        <v>22.8</v>
      </c>
      <c r="AC92" s="332">
        <v>475.18</v>
      </c>
      <c r="AD92" s="332">
        <f t="shared" si="97"/>
        <v>477.1425</v>
      </c>
      <c r="AE92" s="331">
        <f t="shared" si="98"/>
        <v>1.9625</v>
      </c>
      <c r="AF92" s="332">
        <v>508.4</v>
      </c>
      <c r="AG92" s="332">
        <v>508.4</v>
      </c>
      <c r="AH92" s="331">
        <f t="shared" si="99"/>
        <v>1016.8</v>
      </c>
      <c r="AI92" s="331">
        <f t="shared" si="100"/>
        <v>0.045496716</v>
      </c>
      <c r="AJ92" s="332">
        <v>7820.0</v>
      </c>
      <c r="AK92" s="331">
        <f t="shared" si="101"/>
        <v>355.7843191</v>
      </c>
      <c r="AL92" s="335"/>
      <c r="AM92" s="158"/>
      <c r="AN92" s="158"/>
      <c r="AO92" s="158"/>
    </row>
    <row r="93">
      <c r="B93" s="330" t="s">
        <v>466</v>
      </c>
      <c r="C93" s="331"/>
      <c r="D93" s="332">
        <v>5.0</v>
      </c>
      <c r="E93" s="333">
        <v>508.4</v>
      </c>
      <c r="F93" s="333">
        <v>508.4</v>
      </c>
      <c r="G93" s="334">
        <f t="shared" si="90"/>
        <v>1016.8</v>
      </c>
      <c r="H93" s="332">
        <v>475.18</v>
      </c>
      <c r="I93" s="332">
        <f t="shared" si="91"/>
        <v>477.1425</v>
      </c>
      <c r="J93" s="331">
        <f t="shared" si="92"/>
        <v>1.9625</v>
      </c>
      <c r="K93" s="332">
        <v>228.6</v>
      </c>
      <c r="L93" s="332">
        <v>251.4</v>
      </c>
      <c r="M93" s="331">
        <f t="shared" si="93"/>
        <v>22.8</v>
      </c>
      <c r="N93" s="331">
        <f t="shared" si="94"/>
        <v>0.045496716</v>
      </c>
      <c r="O93" s="332">
        <v>7820.0</v>
      </c>
      <c r="P93" s="331">
        <f t="shared" si="95"/>
        <v>355.7843191</v>
      </c>
      <c r="Q93" s="335"/>
      <c r="S93" s="319" t="s">
        <v>383</v>
      </c>
      <c r="T93" s="319" t="s">
        <v>375</v>
      </c>
      <c r="W93" s="330" t="s">
        <v>467</v>
      </c>
      <c r="X93" s="331"/>
      <c r="Y93" s="332">
        <v>5.0</v>
      </c>
      <c r="Z93" s="333">
        <v>-252.1</v>
      </c>
      <c r="AA93" s="333">
        <v>-229.3</v>
      </c>
      <c r="AB93" s="334">
        <f t="shared" si="96"/>
        <v>22.8</v>
      </c>
      <c r="AC93" s="332">
        <v>475.18</v>
      </c>
      <c r="AD93" s="332">
        <f t="shared" si="97"/>
        <v>477.1425</v>
      </c>
      <c r="AE93" s="331">
        <f t="shared" si="98"/>
        <v>1.9625</v>
      </c>
      <c r="AF93" s="332">
        <v>508.4</v>
      </c>
      <c r="AG93" s="332">
        <v>508.4</v>
      </c>
      <c r="AH93" s="331">
        <f t="shared" si="99"/>
        <v>1016.8</v>
      </c>
      <c r="AI93" s="331">
        <f t="shared" si="100"/>
        <v>0.045496716</v>
      </c>
      <c r="AJ93" s="332">
        <v>7820.0</v>
      </c>
      <c r="AK93" s="331">
        <f t="shared" si="101"/>
        <v>355.7843191</v>
      </c>
      <c r="AL93" s="335"/>
      <c r="AM93" s="158"/>
      <c r="AN93" s="158"/>
      <c r="AO93" s="158"/>
    </row>
    <row r="94">
      <c r="B94" s="330" t="s">
        <v>468</v>
      </c>
      <c r="C94" s="331"/>
      <c r="D94" s="332">
        <v>6.0</v>
      </c>
      <c r="E94" s="333">
        <v>508.4</v>
      </c>
      <c r="F94" s="333">
        <v>508.4</v>
      </c>
      <c r="G94" s="334">
        <f t="shared" si="90"/>
        <v>1016.8</v>
      </c>
      <c r="H94" s="332">
        <v>475.18</v>
      </c>
      <c r="I94" s="332">
        <f t="shared" si="91"/>
        <v>477.1425</v>
      </c>
      <c r="J94" s="331">
        <f t="shared" si="92"/>
        <v>1.9625</v>
      </c>
      <c r="K94" s="332">
        <v>388.6</v>
      </c>
      <c r="L94" s="332">
        <v>411.4</v>
      </c>
      <c r="M94" s="331">
        <f t="shared" si="93"/>
        <v>22.8</v>
      </c>
      <c r="N94" s="331">
        <f t="shared" si="94"/>
        <v>0.045496716</v>
      </c>
      <c r="O94" s="332">
        <v>7820.0</v>
      </c>
      <c r="P94" s="331">
        <f t="shared" si="95"/>
        <v>355.7843191</v>
      </c>
      <c r="Q94" s="335"/>
      <c r="S94" s="319" t="s">
        <v>385</v>
      </c>
      <c r="T94" s="319" t="s">
        <v>375</v>
      </c>
      <c r="W94" s="330" t="s">
        <v>469</v>
      </c>
      <c r="X94" s="331"/>
      <c r="Y94" s="332">
        <v>6.0</v>
      </c>
      <c r="Z94" s="333">
        <v>-411.4</v>
      </c>
      <c r="AA94" s="333">
        <v>-388.6</v>
      </c>
      <c r="AB94" s="334">
        <f t="shared" si="96"/>
        <v>22.8</v>
      </c>
      <c r="AC94" s="332">
        <v>475.18</v>
      </c>
      <c r="AD94" s="332">
        <f t="shared" si="97"/>
        <v>477.1425</v>
      </c>
      <c r="AE94" s="331">
        <f t="shared" si="98"/>
        <v>1.9625</v>
      </c>
      <c r="AF94" s="332">
        <v>508.4</v>
      </c>
      <c r="AG94" s="332">
        <v>508.4</v>
      </c>
      <c r="AH94" s="331">
        <f t="shared" si="99"/>
        <v>1016.8</v>
      </c>
      <c r="AI94" s="331">
        <f t="shared" si="100"/>
        <v>0.045496716</v>
      </c>
      <c r="AJ94" s="332">
        <v>7820.0</v>
      </c>
      <c r="AK94" s="331">
        <f t="shared" si="101"/>
        <v>355.7843191</v>
      </c>
      <c r="AL94" s="335"/>
      <c r="AM94" s="158"/>
      <c r="AN94" s="158"/>
      <c r="AO94" s="158"/>
    </row>
    <row r="95">
      <c r="B95" s="336"/>
      <c r="C95" s="331"/>
      <c r="D95" s="332" t="s">
        <v>294</v>
      </c>
      <c r="E95" s="331"/>
      <c r="F95" s="331"/>
      <c r="G95" s="331"/>
      <c r="H95" s="331"/>
      <c r="I95" s="331"/>
      <c r="J95" s="331"/>
      <c r="K95" s="331"/>
      <c r="L95" s="331"/>
      <c r="M95" s="331"/>
      <c r="N95" s="331">
        <f>SUM(N89:N94)</f>
        <v>0.272980296</v>
      </c>
      <c r="O95" s="331"/>
      <c r="P95" s="331">
        <f>SUM(P89:P94)</f>
        <v>2134.705915</v>
      </c>
      <c r="Q95" s="335"/>
      <c r="S95" s="321"/>
      <c r="T95" s="321"/>
      <c r="U95" s="321"/>
      <c r="V95" s="321"/>
      <c r="W95" s="336"/>
      <c r="X95" s="331"/>
      <c r="Y95" s="332" t="s">
        <v>294</v>
      </c>
      <c r="Z95" s="331"/>
      <c r="AA95" s="331"/>
      <c r="AB95" s="331"/>
      <c r="AC95" s="331"/>
      <c r="AD95" s="331"/>
      <c r="AE95" s="331"/>
      <c r="AF95" s="331"/>
      <c r="AG95" s="331"/>
      <c r="AH95" s="331"/>
      <c r="AI95" s="331">
        <f>SUM(AI89:AI94)</f>
        <v>0.272980296</v>
      </c>
      <c r="AJ95" s="331"/>
      <c r="AK95" s="331">
        <f>SUM(AK89:AK94)</f>
        <v>2134.705915</v>
      </c>
      <c r="AL95" s="335"/>
      <c r="AM95" s="158">
        <f>AI95+N95</f>
        <v>0.545960592</v>
      </c>
      <c r="AN95" s="158"/>
      <c r="AO95" s="158"/>
    </row>
    <row r="96">
      <c r="B96" s="336"/>
      <c r="C96" s="331"/>
      <c r="D96" s="331"/>
      <c r="E96" s="331"/>
      <c r="F96" s="331"/>
      <c r="G96" s="331"/>
      <c r="H96" s="331"/>
      <c r="I96" s="331"/>
      <c r="J96" s="331"/>
      <c r="K96" s="331"/>
      <c r="L96" s="331"/>
      <c r="M96" s="331"/>
      <c r="N96" s="331"/>
      <c r="O96" s="331"/>
      <c r="P96" s="331">
        <f>P95/1000</f>
        <v>2.134705915</v>
      </c>
      <c r="Q96" s="337" t="s">
        <v>371</v>
      </c>
      <c r="S96" s="321"/>
      <c r="T96" s="321"/>
      <c r="U96" s="321"/>
      <c r="V96" s="321"/>
      <c r="W96" s="336"/>
      <c r="X96" s="331"/>
      <c r="Y96" s="331"/>
      <c r="Z96" s="331"/>
      <c r="AA96" s="331"/>
      <c r="AB96" s="331"/>
      <c r="AC96" s="331"/>
      <c r="AD96" s="331"/>
      <c r="AE96" s="331"/>
      <c r="AF96" s="331"/>
      <c r="AG96" s="331"/>
      <c r="AH96" s="331"/>
      <c r="AI96" s="331"/>
      <c r="AJ96" s="331"/>
      <c r="AK96" s="331">
        <f>AK95/1000</f>
        <v>2.134705915</v>
      </c>
      <c r="AL96" s="337" t="s">
        <v>371</v>
      </c>
      <c r="AM96" s="307"/>
      <c r="AN96" s="307"/>
      <c r="AO96" s="307"/>
    </row>
    <row r="97">
      <c r="B97" s="336"/>
      <c r="C97" s="331"/>
      <c r="D97" s="331"/>
      <c r="E97" s="331"/>
      <c r="F97" s="331"/>
      <c r="G97" s="331"/>
      <c r="H97" s="331"/>
      <c r="I97" s="331"/>
      <c r="J97" s="331"/>
      <c r="K97" s="331"/>
      <c r="L97" s="331"/>
      <c r="M97" s="331"/>
      <c r="N97" s="331"/>
      <c r="O97" s="331"/>
      <c r="P97" s="331"/>
      <c r="Q97" s="337"/>
      <c r="S97" s="321"/>
      <c r="T97" s="321"/>
      <c r="U97" s="321"/>
      <c r="V97" s="321"/>
      <c r="W97" s="336"/>
      <c r="X97" s="331"/>
      <c r="Y97" s="331"/>
      <c r="Z97" s="331"/>
      <c r="AA97" s="331"/>
      <c r="AB97" s="331"/>
      <c r="AC97" s="331"/>
      <c r="AD97" s="331"/>
      <c r="AE97" s="331"/>
      <c r="AF97" s="331"/>
      <c r="AG97" s="331"/>
      <c r="AH97" s="331"/>
      <c r="AI97" s="331"/>
      <c r="AJ97" s="331"/>
      <c r="AK97" s="331"/>
      <c r="AL97" s="337"/>
      <c r="AM97" s="307"/>
      <c r="AN97" s="307"/>
      <c r="AO97" s="307"/>
    </row>
    <row r="98">
      <c r="B98" s="338" t="s">
        <v>330</v>
      </c>
      <c r="C98" s="332" t="s">
        <v>386</v>
      </c>
      <c r="D98" s="362" t="s">
        <v>431</v>
      </c>
      <c r="E98" s="332" t="s">
        <v>333</v>
      </c>
      <c r="F98" s="332" t="s">
        <v>334</v>
      </c>
      <c r="G98" s="332" t="s">
        <v>335</v>
      </c>
      <c r="H98" s="332" t="s">
        <v>336</v>
      </c>
      <c r="I98" s="332" t="s">
        <v>337</v>
      </c>
      <c r="J98" s="332" t="s">
        <v>338</v>
      </c>
      <c r="K98" s="332" t="s">
        <v>339</v>
      </c>
      <c r="L98" s="332" t="s">
        <v>340</v>
      </c>
      <c r="M98" s="332" t="s">
        <v>341</v>
      </c>
      <c r="N98" s="332" t="s">
        <v>235</v>
      </c>
      <c r="O98" s="332" t="s">
        <v>342</v>
      </c>
      <c r="P98" s="332" t="s">
        <v>229</v>
      </c>
      <c r="Q98" s="335"/>
      <c r="S98" s="321"/>
      <c r="T98" s="321"/>
      <c r="U98" s="321"/>
      <c r="V98" s="321"/>
      <c r="W98" s="338" t="s">
        <v>330</v>
      </c>
      <c r="X98" s="332" t="s">
        <v>386</v>
      </c>
      <c r="Y98" s="362" t="s">
        <v>431</v>
      </c>
      <c r="Z98" s="332" t="s">
        <v>333</v>
      </c>
      <c r="AA98" s="332" t="s">
        <v>334</v>
      </c>
      <c r="AB98" s="332" t="s">
        <v>335</v>
      </c>
      <c r="AC98" s="332" t="s">
        <v>336</v>
      </c>
      <c r="AD98" s="332" t="s">
        <v>337</v>
      </c>
      <c r="AE98" s="332" t="s">
        <v>338</v>
      </c>
      <c r="AF98" s="332" t="s">
        <v>339</v>
      </c>
      <c r="AG98" s="332" t="s">
        <v>340</v>
      </c>
      <c r="AH98" s="332" t="s">
        <v>341</v>
      </c>
      <c r="AI98" s="332" t="s">
        <v>235</v>
      </c>
      <c r="AJ98" s="332" t="s">
        <v>342</v>
      </c>
      <c r="AK98" s="332" t="s">
        <v>229</v>
      </c>
      <c r="AL98" s="335"/>
      <c r="AM98" s="158"/>
      <c r="AN98" s="158"/>
      <c r="AO98" s="158"/>
    </row>
    <row r="99">
      <c r="B99" s="330" t="s">
        <v>470</v>
      </c>
      <c r="C99" s="331"/>
      <c r="D99" s="332">
        <v>1.0</v>
      </c>
      <c r="E99" s="333">
        <v>-570.2</v>
      </c>
      <c r="F99" s="333">
        <v>-570.2</v>
      </c>
      <c r="G99" s="334">
        <f t="shared" ref="G99:G104" si="102">-E99-F99</f>
        <v>1140.4</v>
      </c>
      <c r="H99" s="332">
        <v>-537.8</v>
      </c>
      <c r="I99" s="332">
        <f t="shared" ref="I99:I104" si="103">-535-0.8375</f>
        <v>-535.8375</v>
      </c>
      <c r="J99" s="331">
        <f t="shared" ref="J99:J104" si="104">I99-H99</f>
        <v>1.9625</v>
      </c>
      <c r="K99" s="332">
        <v>-411.4</v>
      </c>
      <c r="L99" s="332">
        <v>-388.6</v>
      </c>
      <c r="M99" s="331">
        <f t="shared" ref="M99:M104" si="105">L99-K99</f>
        <v>22.8</v>
      </c>
      <c r="N99" s="331">
        <f t="shared" ref="N99:N104" si="106">(G99*J99*M99)/1000000</f>
        <v>0.051027198</v>
      </c>
      <c r="O99" s="332">
        <v>7820.0</v>
      </c>
      <c r="P99" s="331">
        <f t="shared" ref="P99:P104" si="107">N99*O99</f>
        <v>399.0326884</v>
      </c>
      <c r="Q99" s="335"/>
      <c r="S99" s="319" t="s">
        <v>388</v>
      </c>
      <c r="T99" s="319" t="s">
        <v>389</v>
      </c>
      <c r="W99" s="330" t="s">
        <v>471</v>
      </c>
      <c r="X99" s="331"/>
      <c r="Y99" s="332">
        <v>1.0</v>
      </c>
      <c r="Z99" s="333">
        <v>388.6</v>
      </c>
      <c r="AA99" s="333">
        <v>411.4</v>
      </c>
      <c r="AB99" s="334">
        <f t="shared" ref="AB99:AB104" si="108">AA99-Z99</f>
        <v>22.8</v>
      </c>
      <c r="AC99" s="332">
        <v>-537.8</v>
      </c>
      <c r="AD99" s="332">
        <f t="shared" ref="AD99:AD104" si="109">AC99+1.9625</f>
        <v>-535.8375</v>
      </c>
      <c r="AE99" s="331">
        <f t="shared" ref="AE99:AE104" si="110">AD99-AC99</f>
        <v>1.9625</v>
      </c>
      <c r="AF99" s="333">
        <v>-570.2</v>
      </c>
      <c r="AG99" s="333">
        <v>-570.2</v>
      </c>
      <c r="AH99" s="334">
        <f t="shared" ref="AH99:AH104" si="111">-AF99-AG99</f>
        <v>1140.4</v>
      </c>
      <c r="AI99" s="331">
        <f t="shared" ref="AI99:AI104" si="112">(AB99*AE99*AH99)/1000000</f>
        <v>0.051027198</v>
      </c>
      <c r="AJ99" s="332">
        <v>7820.0</v>
      </c>
      <c r="AK99" s="331">
        <f t="shared" ref="AK99:AK104" si="113">AI99*AJ99</f>
        <v>399.0326884</v>
      </c>
      <c r="AL99" s="335"/>
      <c r="AM99" s="158"/>
      <c r="AN99" s="158"/>
      <c r="AO99" s="158"/>
    </row>
    <row r="100">
      <c r="B100" s="330" t="s">
        <v>472</v>
      </c>
      <c r="C100" s="331"/>
      <c r="D100" s="332">
        <v>2.0</v>
      </c>
      <c r="E100" s="333">
        <v>-570.2</v>
      </c>
      <c r="F100" s="333">
        <v>-570.2</v>
      </c>
      <c r="G100" s="334">
        <f t="shared" si="102"/>
        <v>1140.4</v>
      </c>
      <c r="H100" s="332">
        <v>-537.8</v>
      </c>
      <c r="I100" s="332">
        <f t="shared" si="103"/>
        <v>-535.8375</v>
      </c>
      <c r="J100" s="331">
        <f t="shared" si="104"/>
        <v>1.9625</v>
      </c>
      <c r="K100" s="332">
        <v>-251.4</v>
      </c>
      <c r="L100" s="332">
        <v>-228.6</v>
      </c>
      <c r="M100" s="331">
        <f t="shared" si="105"/>
        <v>22.8</v>
      </c>
      <c r="N100" s="331">
        <f t="shared" si="106"/>
        <v>0.051027198</v>
      </c>
      <c r="O100" s="332">
        <v>7820.0</v>
      </c>
      <c r="P100" s="331">
        <f t="shared" si="107"/>
        <v>399.0326884</v>
      </c>
      <c r="Q100" s="335"/>
      <c r="S100" s="319" t="s">
        <v>391</v>
      </c>
      <c r="T100" s="319" t="s">
        <v>389</v>
      </c>
      <c r="W100" s="330" t="s">
        <v>473</v>
      </c>
      <c r="X100" s="331"/>
      <c r="Y100" s="332">
        <v>2.0</v>
      </c>
      <c r="Z100" s="333">
        <v>228.6</v>
      </c>
      <c r="AA100" s="333">
        <v>251.4</v>
      </c>
      <c r="AB100" s="334">
        <f t="shared" si="108"/>
        <v>22.8</v>
      </c>
      <c r="AC100" s="332">
        <v>-537.8</v>
      </c>
      <c r="AD100" s="332">
        <f t="shared" si="109"/>
        <v>-535.8375</v>
      </c>
      <c r="AE100" s="331">
        <f t="shared" si="110"/>
        <v>1.9625</v>
      </c>
      <c r="AF100" s="333">
        <v>-570.2</v>
      </c>
      <c r="AG100" s="333">
        <v>-570.2</v>
      </c>
      <c r="AH100" s="334">
        <f t="shared" si="111"/>
        <v>1140.4</v>
      </c>
      <c r="AI100" s="331">
        <f t="shared" si="112"/>
        <v>0.051027198</v>
      </c>
      <c r="AJ100" s="332">
        <v>7820.0</v>
      </c>
      <c r="AK100" s="331">
        <f t="shared" si="113"/>
        <v>399.0326884</v>
      </c>
      <c r="AL100" s="335"/>
      <c r="AM100" s="158"/>
      <c r="AN100" s="158"/>
      <c r="AO100" s="158"/>
    </row>
    <row r="101">
      <c r="B101" s="330" t="s">
        <v>474</v>
      </c>
      <c r="C101" s="331"/>
      <c r="D101" s="332">
        <v>3.0</v>
      </c>
      <c r="E101" s="333">
        <v>-570.2</v>
      </c>
      <c r="F101" s="333">
        <v>-570.2</v>
      </c>
      <c r="G101" s="334">
        <f t="shared" si="102"/>
        <v>1140.4</v>
      </c>
      <c r="H101" s="332">
        <v>-537.8</v>
      </c>
      <c r="I101" s="332">
        <f t="shared" si="103"/>
        <v>-535.8375</v>
      </c>
      <c r="J101" s="331">
        <f t="shared" si="104"/>
        <v>1.9625</v>
      </c>
      <c r="K101" s="332">
        <v>-91.4</v>
      </c>
      <c r="L101" s="332">
        <v>-68.6</v>
      </c>
      <c r="M101" s="331">
        <f t="shared" si="105"/>
        <v>22.8</v>
      </c>
      <c r="N101" s="331">
        <f t="shared" si="106"/>
        <v>0.051027198</v>
      </c>
      <c r="O101" s="332">
        <v>7820.0</v>
      </c>
      <c r="P101" s="331">
        <f t="shared" si="107"/>
        <v>399.0326884</v>
      </c>
      <c r="Q101" s="335"/>
      <c r="S101" s="319" t="s">
        <v>393</v>
      </c>
      <c r="T101" s="319" t="s">
        <v>389</v>
      </c>
      <c r="W101" s="330" t="s">
        <v>475</v>
      </c>
      <c r="X101" s="331"/>
      <c r="Y101" s="332">
        <v>3.0</v>
      </c>
      <c r="Z101" s="333">
        <v>68.6</v>
      </c>
      <c r="AA101" s="333">
        <v>91.4</v>
      </c>
      <c r="AB101" s="334">
        <f t="shared" si="108"/>
        <v>22.8</v>
      </c>
      <c r="AC101" s="332">
        <v>-537.8</v>
      </c>
      <c r="AD101" s="332">
        <f t="shared" si="109"/>
        <v>-535.8375</v>
      </c>
      <c r="AE101" s="331">
        <f t="shared" si="110"/>
        <v>1.9625</v>
      </c>
      <c r="AF101" s="333">
        <v>-570.2</v>
      </c>
      <c r="AG101" s="333">
        <v>-570.2</v>
      </c>
      <c r="AH101" s="334">
        <f t="shared" si="111"/>
        <v>1140.4</v>
      </c>
      <c r="AI101" s="331">
        <f t="shared" si="112"/>
        <v>0.051027198</v>
      </c>
      <c r="AJ101" s="332">
        <v>7820.0</v>
      </c>
      <c r="AK101" s="331">
        <f t="shared" si="113"/>
        <v>399.0326884</v>
      </c>
      <c r="AL101" s="335"/>
      <c r="AM101" s="158"/>
      <c r="AN101" s="158"/>
      <c r="AO101" s="158"/>
    </row>
    <row r="102">
      <c r="B102" s="330" t="s">
        <v>476</v>
      </c>
      <c r="C102" s="331"/>
      <c r="D102" s="332">
        <v>4.0</v>
      </c>
      <c r="E102" s="333">
        <v>-570.2</v>
      </c>
      <c r="F102" s="333">
        <v>-570.2</v>
      </c>
      <c r="G102" s="334">
        <f t="shared" si="102"/>
        <v>1140.4</v>
      </c>
      <c r="H102" s="332">
        <v>-537.8</v>
      </c>
      <c r="I102" s="332">
        <f t="shared" si="103"/>
        <v>-535.8375</v>
      </c>
      <c r="J102" s="331">
        <f t="shared" si="104"/>
        <v>1.9625</v>
      </c>
      <c r="K102" s="332">
        <v>68.6</v>
      </c>
      <c r="L102" s="332">
        <v>91.4</v>
      </c>
      <c r="M102" s="331">
        <f t="shared" si="105"/>
        <v>22.8</v>
      </c>
      <c r="N102" s="331">
        <f t="shared" si="106"/>
        <v>0.051027198</v>
      </c>
      <c r="O102" s="332">
        <v>7820.0</v>
      </c>
      <c r="P102" s="331">
        <f t="shared" si="107"/>
        <v>399.0326884</v>
      </c>
      <c r="Q102" s="335"/>
      <c r="S102" s="319" t="s">
        <v>395</v>
      </c>
      <c r="T102" s="319" t="s">
        <v>389</v>
      </c>
      <c r="W102" s="330" t="s">
        <v>477</v>
      </c>
      <c r="X102" s="331"/>
      <c r="Y102" s="332">
        <v>4.0</v>
      </c>
      <c r="Z102" s="333">
        <v>-91.4</v>
      </c>
      <c r="AA102" s="333">
        <v>-68.6</v>
      </c>
      <c r="AB102" s="334">
        <f t="shared" si="108"/>
        <v>22.8</v>
      </c>
      <c r="AC102" s="332">
        <v>-537.8</v>
      </c>
      <c r="AD102" s="332">
        <f t="shared" si="109"/>
        <v>-535.8375</v>
      </c>
      <c r="AE102" s="331">
        <f t="shared" si="110"/>
        <v>1.9625</v>
      </c>
      <c r="AF102" s="333">
        <v>-570.2</v>
      </c>
      <c r="AG102" s="333">
        <v>-570.2</v>
      </c>
      <c r="AH102" s="334">
        <f t="shared" si="111"/>
        <v>1140.4</v>
      </c>
      <c r="AI102" s="331">
        <f t="shared" si="112"/>
        <v>0.051027198</v>
      </c>
      <c r="AJ102" s="332">
        <v>7820.0</v>
      </c>
      <c r="AK102" s="331">
        <f t="shared" si="113"/>
        <v>399.0326884</v>
      </c>
      <c r="AL102" s="335"/>
      <c r="AM102" s="158"/>
      <c r="AN102" s="158"/>
      <c r="AO102" s="158"/>
    </row>
    <row r="103">
      <c r="B103" s="330" t="s">
        <v>478</v>
      </c>
      <c r="C103" s="331"/>
      <c r="D103" s="332">
        <v>5.0</v>
      </c>
      <c r="E103" s="333">
        <v>-570.2</v>
      </c>
      <c r="F103" s="333">
        <v>-570.2</v>
      </c>
      <c r="G103" s="334">
        <f t="shared" si="102"/>
        <v>1140.4</v>
      </c>
      <c r="H103" s="332">
        <v>-537.8</v>
      </c>
      <c r="I103" s="332">
        <f t="shared" si="103"/>
        <v>-535.8375</v>
      </c>
      <c r="J103" s="331">
        <f t="shared" si="104"/>
        <v>1.9625</v>
      </c>
      <c r="K103" s="332">
        <v>228.6</v>
      </c>
      <c r="L103" s="332">
        <v>251.4</v>
      </c>
      <c r="M103" s="331">
        <f t="shared" si="105"/>
        <v>22.8</v>
      </c>
      <c r="N103" s="331">
        <f t="shared" si="106"/>
        <v>0.051027198</v>
      </c>
      <c r="O103" s="332">
        <v>7820.0</v>
      </c>
      <c r="P103" s="331">
        <f t="shared" si="107"/>
        <v>399.0326884</v>
      </c>
      <c r="Q103" s="335"/>
      <c r="S103" s="319" t="s">
        <v>397</v>
      </c>
      <c r="T103" s="319" t="s">
        <v>389</v>
      </c>
      <c r="W103" s="330" t="s">
        <v>479</v>
      </c>
      <c r="X103" s="331"/>
      <c r="Y103" s="332">
        <v>5.0</v>
      </c>
      <c r="Z103" s="333">
        <v>-252.1</v>
      </c>
      <c r="AA103" s="333">
        <v>-229.3</v>
      </c>
      <c r="AB103" s="334">
        <f t="shared" si="108"/>
        <v>22.8</v>
      </c>
      <c r="AC103" s="332">
        <v>-537.8</v>
      </c>
      <c r="AD103" s="332">
        <f t="shared" si="109"/>
        <v>-535.8375</v>
      </c>
      <c r="AE103" s="331">
        <f t="shared" si="110"/>
        <v>1.9625</v>
      </c>
      <c r="AF103" s="333">
        <v>-570.2</v>
      </c>
      <c r="AG103" s="333">
        <v>-570.2</v>
      </c>
      <c r="AH103" s="334">
        <f t="shared" si="111"/>
        <v>1140.4</v>
      </c>
      <c r="AI103" s="331">
        <f t="shared" si="112"/>
        <v>0.051027198</v>
      </c>
      <c r="AJ103" s="332">
        <v>7820.0</v>
      </c>
      <c r="AK103" s="331">
        <f t="shared" si="113"/>
        <v>399.0326884</v>
      </c>
      <c r="AL103" s="335"/>
      <c r="AM103" s="158"/>
      <c r="AN103" s="158"/>
      <c r="AO103" s="158"/>
    </row>
    <row r="104">
      <c r="B104" s="330" t="s">
        <v>480</v>
      </c>
      <c r="C104" s="331"/>
      <c r="D104" s="332">
        <v>6.0</v>
      </c>
      <c r="E104" s="333">
        <v>-570.2</v>
      </c>
      <c r="F104" s="333">
        <v>-570.2</v>
      </c>
      <c r="G104" s="334">
        <f t="shared" si="102"/>
        <v>1140.4</v>
      </c>
      <c r="H104" s="332">
        <v>-537.8</v>
      </c>
      <c r="I104" s="332">
        <f t="shared" si="103"/>
        <v>-535.8375</v>
      </c>
      <c r="J104" s="331">
        <f t="shared" si="104"/>
        <v>1.9625</v>
      </c>
      <c r="K104" s="332">
        <v>388.6</v>
      </c>
      <c r="L104" s="332">
        <v>411.4</v>
      </c>
      <c r="M104" s="331">
        <f t="shared" si="105"/>
        <v>22.8</v>
      </c>
      <c r="N104" s="331">
        <f t="shared" si="106"/>
        <v>0.051027198</v>
      </c>
      <c r="O104" s="332">
        <v>7820.0</v>
      </c>
      <c r="P104" s="331">
        <f t="shared" si="107"/>
        <v>399.0326884</v>
      </c>
      <c r="Q104" s="335"/>
      <c r="S104" s="319" t="s">
        <v>399</v>
      </c>
      <c r="T104" s="319" t="s">
        <v>389</v>
      </c>
      <c r="W104" s="330" t="s">
        <v>481</v>
      </c>
      <c r="X104" s="331"/>
      <c r="Y104" s="332">
        <v>6.0</v>
      </c>
      <c r="Z104" s="333">
        <v>-411.4</v>
      </c>
      <c r="AA104" s="333">
        <v>-388.6</v>
      </c>
      <c r="AB104" s="334">
        <f t="shared" si="108"/>
        <v>22.8</v>
      </c>
      <c r="AC104" s="332">
        <v>-537.8</v>
      </c>
      <c r="AD104" s="332">
        <f t="shared" si="109"/>
        <v>-535.8375</v>
      </c>
      <c r="AE104" s="331">
        <f t="shared" si="110"/>
        <v>1.9625</v>
      </c>
      <c r="AF104" s="333">
        <v>-570.2</v>
      </c>
      <c r="AG104" s="333">
        <v>-570.2</v>
      </c>
      <c r="AH104" s="334">
        <f t="shared" si="111"/>
        <v>1140.4</v>
      </c>
      <c r="AI104" s="331">
        <f t="shared" si="112"/>
        <v>0.051027198</v>
      </c>
      <c r="AJ104" s="332">
        <v>7820.0</v>
      </c>
      <c r="AK104" s="331">
        <f t="shared" si="113"/>
        <v>399.0326884</v>
      </c>
      <c r="AL104" s="335"/>
      <c r="AM104" s="158"/>
      <c r="AN104" s="158"/>
      <c r="AO104" s="158"/>
    </row>
    <row r="105">
      <c r="B105" s="336"/>
      <c r="C105" s="331"/>
      <c r="D105" s="332" t="s">
        <v>294</v>
      </c>
      <c r="E105" s="331"/>
      <c r="F105" s="331"/>
      <c r="G105" s="331"/>
      <c r="H105" s="331"/>
      <c r="I105" s="331"/>
      <c r="J105" s="331"/>
      <c r="K105" s="331"/>
      <c r="L105" s="331"/>
      <c r="M105" s="331"/>
      <c r="N105" s="331">
        <f>SUM(N99:N104)</f>
        <v>0.306163188</v>
      </c>
      <c r="O105" s="331"/>
      <c r="P105" s="331">
        <f>SUM(P99:P104)</f>
        <v>2394.19613</v>
      </c>
      <c r="Q105" s="335"/>
      <c r="S105" s="321"/>
      <c r="T105" s="321"/>
      <c r="U105" s="321"/>
      <c r="V105" s="321"/>
      <c r="W105" s="336"/>
      <c r="X105" s="331"/>
      <c r="Y105" s="332" t="s">
        <v>294</v>
      </c>
      <c r="Z105" s="331"/>
      <c r="AA105" s="331"/>
      <c r="AB105" s="331"/>
      <c r="AC105" s="331"/>
      <c r="AD105" s="331"/>
      <c r="AE105" s="331"/>
      <c r="AF105" s="331"/>
      <c r="AG105" s="331"/>
      <c r="AH105" s="331"/>
      <c r="AI105" s="331">
        <f>SUM(AI99:AI104)</f>
        <v>0.306163188</v>
      </c>
      <c r="AJ105" s="331"/>
      <c r="AK105" s="331">
        <f>SUM(AK99:AK104)</f>
        <v>2394.19613</v>
      </c>
      <c r="AL105" s="335"/>
      <c r="AM105" s="158">
        <f>AI105+N105</f>
        <v>0.612326376</v>
      </c>
      <c r="AN105" s="158"/>
      <c r="AO105" s="158"/>
    </row>
    <row r="106">
      <c r="B106" s="339"/>
      <c r="C106" s="340"/>
      <c r="D106" s="340"/>
      <c r="E106" s="340"/>
      <c r="F106" s="340"/>
      <c r="G106" s="340"/>
      <c r="H106" s="340"/>
      <c r="I106" s="340"/>
      <c r="J106" s="340"/>
      <c r="K106" s="340"/>
      <c r="L106" s="340"/>
      <c r="M106" s="340"/>
      <c r="N106" s="340"/>
      <c r="O106" s="340"/>
      <c r="P106" s="340">
        <f>P105/1000</f>
        <v>2.39419613</v>
      </c>
      <c r="Q106" s="341" t="s">
        <v>371</v>
      </c>
      <c r="S106" s="321"/>
      <c r="T106" s="321"/>
      <c r="U106" s="321"/>
      <c r="V106" s="321"/>
      <c r="W106" s="339"/>
      <c r="X106" s="340"/>
      <c r="Y106" s="340"/>
      <c r="Z106" s="340"/>
      <c r="AA106" s="340"/>
      <c r="AB106" s="340"/>
      <c r="AC106" s="340"/>
      <c r="AD106" s="340"/>
      <c r="AE106" s="340"/>
      <c r="AF106" s="340"/>
      <c r="AG106" s="340"/>
      <c r="AH106" s="340"/>
      <c r="AI106" s="340"/>
      <c r="AJ106" s="340"/>
      <c r="AK106" s="340">
        <f>AK105/1000</f>
        <v>2.39419613</v>
      </c>
      <c r="AL106" s="341" t="s">
        <v>371</v>
      </c>
      <c r="AM106" s="307"/>
      <c r="AN106" s="307"/>
      <c r="AO106" s="307"/>
    </row>
    <row r="107">
      <c r="S107" s="321"/>
      <c r="T107" s="321"/>
      <c r="U107" s="321"/>
      <c r="V107" s="321"/>
      <c r="AM107" s="158"/>
      <c r="AN107" s="158"/>
      <c r="AO107" s="158"/>
    </row>
    <row r="108">
      <c r="B108" s="342" t="s">
        <v>330</v>
      </c>
      <c r="C108" s="343" t="s">
        <v>400</v>
      </c>
      <c r="D108" s="362" t="s">
        <v>431</v>
      </c>
      <c r="E108" s="343" t="s">
        <v>333</v>
      </c>
      <c r="F108" s="343" t="s">
        <v>334</v>
      </c>
      <c r="G108" s="343" t="s">
        <v>335</v>
      </c>
      <c r="H108" s="343" t="s">
        <v>336</v>
      </c>
      <c r="I108" s="343" t="s">
        <v>337</v>
      </c>
      <c r="J108" s="343" t="s">
        <v>338</v>
      </c>
      <c r="K108" s="343" t="s">
        <v>339</v>
      </c>
      <c r="L108" s="343" t="s">
        <v>340</v>
      </c>
      <c r="M108" s="343" t="s">
        <v>341</v>
      </c>
      <c r="N108" s="343" t="s">
        <v>235</v>
      </c>
      <c r="O108" s="343" t="s">
        <v>342</v>
      </c>
      <c r="P108" s="343" t="s">
        <v>229</v>
      </c>
      <c r="Q108" s="344"/>
      <c r="S108" s="319" t="s">
        <v>401</v>
      </c>
      <c r="T108" s="319" t="s">
        <v>402</v>
      </c>
      <c r="U108" s="321"/>
      <c r="V108" s="321"/>
      <c r="W108" s="342" t="s">
        <v>330</v>
      </c>
      <c r="X108" s="343" t="s">
        <v>400</v>
      </c>
      <c r="Y108" s="364" t="s">
        <v>431</v>
      </c>
      <c r="Z108" s="343" t="s">
        <v>333</v>
      </c>
      <c r="AA108" s="343" t="s">
        <v>334</v>
      </c>
      <c r="AB108" s="343" t="s">
        <v>335</v>
      </c>
      <c r="AC108" s="343" t="s">
        <v>336</v>
      </c>
      <c r="AD108" s="343" t="s">
        <v>337</v>
      </c>
      <c r="AE108" s="343" t="s">
        <v>338</v>
      </c>
      <c r="AF108" s="343" t="s">
        <v>339</v>
      </c>
      <c r="AG108" s="343" t="s">
        <v>340</v>
      </c>
      <c r="AH108" s="343" t="s">
        <v>341</v>
      </c>
      <c r="AI108" s="343" t="s">
        <v>235</v>
      </c>
      <c r="AJ108" s="343" t="s">
        <v>342</v>
      </c>
      <c r="AK108" s="343" t="s">
        <v>229</v>
      </c>
      <c r="AL108" s="344"/>
      <c r="AM108" s="158"/>
      <c r="AN108" s="158"/>
      <c r="AO108" s="158"/>
    </row>
    <row r="109">
      <c r="B109" s="345" t="s">
        <v>482</v>
      </c>
      <c r="C109" s="346"/>
      <c r="D109" s="347">
        <v>1.0</v>
      </c>
      <c r="E109" s="348">
        <f t="shared" ref="E109:E114" si="114">F109-1.9625</f>
        <v>568.2375</v>
      </c>
      <c r="F109" s="348">
        <v>570.2</v>
      </c>
      <c r="G109" s="349">
        <f t="shared" ref="G109:G114" si="115">F109-E109</f>
        <v>1.9625</v>
      </c>
      <c r="H109" s="347">
        <v>535.0</v>
      </c>
      <c r="I109" s="347">
        <v>535.0</v>
      </c>
      <c r="J109" s="346">
        <f t="shared" ref="J109:J114" si="116">I109+H109</f>
        <v>1070</v>
      </c>
      <c r="K109" s="347">
        <v>388.6</v>
      </c>
      <c r="L109" s="347">
        <v>411.4</v>
      </c>
      <c r="M109" s="346">
        <f t="shared" ref="M109:M114" si="117">L109-K109</f>
        <v>22.8</v>
      </c>
      <c r="N109" s="346">
        <f t="shared" ref="N109:N114" si="118">(G109*J109*M109)/1000000</f>
        <v>0.04787715</v>
      </c>
      <c r="O109" s="347">
        <v>7820.0</v>
      </c>
      <c r="P109" s="346">
        <f t="shared" ref="P109:P114" si="119">N109*O109</f>
        <v>374.399313</v>
      </c>
      <c r="Q109" s="350"/>
      <c r="S109" s="319" t="s">
        <v>404</v>
      </c>
      <c r="T109" s="319" t="s">
        <v>405</v>
      </c>
      <c r="W109" s="345" t="s">
        <v>483</v>
      </c>
      <c r="X109" s="346"/>
      <c r="Y109" s="347">
        <v>1.0</v>
      </c>
      <c r="Z109" s="348">
        <f t="shared" ref="Z109:Z114" si="120">AA109-1.9625</f>
        <v>568.2375</v>
      </c>
      <c r="AA109" s="348">
        <v>570.2</v>
      </c>
      <c r="AB109" s="349">
        <f t="shared" ref="AB109:AB114" si="121">AA109-Z109</f>
        <v>1.9625</v>
      </c>
      <c r="AC109" s="347">
        <v>388.6</v>
      </c>
      <c r="AD109" s="347">
        <v>411.4</v>
      </c>
      <c r="AE109" s="346">
        <f t="shared" ref="AE109:AE114" si="122">AD109-AC109</f>
        <v>22.8</v>
      </c>
      <c r="AF109" s="347">
        <v>508.4</v>
      </c>
      <c r="AG109" s="347">
        <v>508.4</v>
      </c>
      <c r="AH109" s="346">
        <f t="shared" ref="AH109:AH114" si="123">SUM(AF109:AG109)</f>
        <v>1016.8</v>
      </c>
      <c r="AI109" s="346">
        <f t="shared" ref="AI109:AI114" si="124">(AB109*AE109*AH109)/1000000</f>
        <v>0.045496716</v>
      </c>
      <c r="AJ109" s="347">
        <v>7820.0</v>
      </c>
      <c r="AK109" s="346">
        <f t="shared" ref="AK109:AK114" si="125">AI109*AJ109</f>
        <v>355.7843191</v>
      </c>
      <c r="AL109" s="350"/>
      <c r="AM109" s="158"/>
      <c r="AN109" s="158"/>
      <c r="AO109" s="158"/>
    </row>
    <row r="110">
      <c r="B110" s="345" t="s">
        <v>484</v>
      </c>
      <c r="C110" s="346"/>
      <c r="D110" s="347">
        <v>2.0</v>
      </c>
      <c r="E110" s="348">
        <f t="shared" si="114"/>
        <v>568.2375</v>
      </c>
      <c r="F110" s="348">
        <v>570.2</v>
      </c>
      <c r="G110" s="349">
        <f t="shared" si="115"/>
        <v>1.9625</v>
      </c>
      <c r="H110" s="347">
        <v>535.0</v>
      </c>
      <c r="I110" s="347">
        <v>535.0</v>
      </c>
      <c r="J110" s="346">
        <f t="shared" si="116"/>
        <v>1070</v>
      </c>
      <c r="K110" s="347">
        <v>228.6</v>
      </c>
      <c r="L110" s="347">
        <v>251.4</v>
      </c>
      <c r="M110" s="346">
        <f t="shared" si="117"/>
        <v>22.8</v>
      </c>
      <c r="N110" s="346">
        <f t="shared" si="118"/>
        <v>0.04787715</v>
      </c>
      <c r="O110" s="347">
        <v>7820.0</v>
      </c>
      <c r="P110" s="346">
        <f t="shared" si="119"/>
        <v>374.399313</v>
      </c>
      <c r="Q110" s="350"/>
      <c r="S110" s="319" t="s">
        <v>407</v>
      </c>
      <c r="T110" s="351" t="s">
        <v>405</v>
      </c>
      <c r="U110" s="321"/>
      <c r="V110" s="321"/>
      <c r="W110" s="345" t="s">
        <v>485</v>
      </c>
      <c r="X110" s="346"/>
      <c r="Y110" s="347">
        <v>2.0</v>
      </c>
      <c r="Z110" s="348">
        <f t="shared" si="120"/>
        <v>568.2375</v>
      </c>
      <c r="AA110" s="348">
        <v>570.2</v>
      </c>
      <c r="AB110" s="349">
        <f t="shared" si="121"/>
        <v>1.9625</v>
      </c>
      <c r="AC110" s="347">
        <v>228.6</v>
      </c>
      <c r="AD110" s="347">
        <v>251.4</v>
      </c>
      <c r="AE110" s="346">
        <f t="shared" si="122"/>
        <v>22.8</v>
      </c>
      <c r="AF110" s="347">
        <v>508.4</v>
      </c>
      <c r="AG110" s="347">
        <v>508.4</v>
      </c>
      <c r="AH110" s="346">
        <f t="shared" si="123"/>
        <v>1016.8</v>
      </c>
      <c r="AI110" s="346">
        <f t="shared" si="124"/>
        <v>0.045496716</v>
      </c>
      <c r="AJ110" s="347">
        <v>7820.0</v>
      </c>
      <c r="AK110" s="346">
        <f t="shared" si="125"/>
        <v>355.7843191</v>
      </c>
      <c r="AL110" s="350"/>
      <c r="AM110" s="158"/>
      <c r="AN110" s="158"/>
      <c r="AO110" s="158"/>
    </row>
    <row r="111">
      <c r="B111" s="345" t="s">
        <v>486</v>
      </c>
      <c r="C111" s="346"/>
      <c r="D111" s="347">
        <v>3.0</v>
      </c>
      <c r="E111" s="348">
        <f t="shared" si="114"/>
        <v>568.2375</v>
      </c>
      <c r="F111" s="348">
        <v>570.2</v>
      </c>
      <c r="G111" s="349">
        <f t="shared" si="115"/>
        <v>1.9625</v>
      </c>
      <c r="H111" s="347">
        <v>535.0</v>
      </c>
      <c r="I111" s="347">
        <v>535.0</v>
      </c>
      <c r="J111" s="346">
        <f t="shared" si="116"/>
        <v>1070</v>
      </c>
      <c r="K111" s="347">
        <v>68.6</v>
      </c>
      <c r="L111" s="347">
        <v>91.4</v>
      </c>
      <c r="M111" s="346">
        <f t="shared" si="117"/>
        <v>22.8</v>
      </c>
      <c r="N111" s="346">
        <f t="shared" si="118"/>
        <v>0.04787715</v>
      </c>
      <c r="O111" s="347">
        <v>7820.0</v>
      </c>
      <c r="P111" s="346">
        <f t="shared" si="119"/>
        <v>374.399313</v>
      </c>
      <c r="Q111" s="350"/>
      <c r="S111" s="319" t="s">
        <v>409</v>
      </c>
      <c r="T111" s="351" t="s">
        <v>405</v>
      </c>
      <c r="U111" s="321"/>
      <c r="V111" s="321"/>
      <c r="W111" s="345" t="s">
        <v>487</v>
      </c>
      <c r="X111" s="346"/>
      <c r="Y111" s="347">
        <v>3.0</v>
      </c>
      <c r="Z111" s="348">
        <f t="shared" si="120"/>
        <v>568.2375</v>
      </c>
      <c r="AA111" s="348">
        <v>570.2</v>
      </c>
      <c r="AB111" s="349">
        <f t="shared" si="121"/>
        <v>1.9625</v>
      </c>
      <c r="AC111" s="347">
        <v>68.6</v>
      </c>
      <c r="AD111" s="347">
        <v>91.4</v>
      </c>
      <c r="AE111" s="346">
        <f t="shared" si="122"/>
        <v>22.8</v>
      </c>
      <c r="AF111" s="347">
        <v>508.4</v>
      </c>
      <c r="AG111" s="347">
        <v>508.4</v>
      </c>
      <c r="AH111" s="346">
        <f t="shared" si="123"/>
        <v>1016.8</v>
      </c>
      <c r="AI111" s="346">
        <f t="shared" si="124"/>
        <v>0.045496716</v>
      </c>
      <c r="AJ111" s="347">
        <v>7820.0</v>
      </c>
      <c r="AK111" s="346">
        <f t="shared" si="125"/>
        <v>355.7843191</v>
      </c>
      <c r="AL111" s="350"/>
      <c r="AM111" s="158"/>
      <c r="AN111" s="158"/>
      <c r="AO111" s="158"/>
    </row>
    <row r="112">
      <c r="B112" s="345" t="s">
        <v>488</v>
      </c>
      <c r="C112" s="346"/>
      <c r="D112" s="347">
        <v>4.0</v>
      </c>
      <c r="E112" s="348">
        <f t="shared" si="114"/>
        <v>568.2375</v>
      </c>
      <c r="F112" s="348">
        <v>570.2</v>
      </c>
      <c r="G112" s="349">
        <f t="shared" si="115"/>
        <v>1.9625</v>
      </c>
      <c r="H112" s="347">
        <v>535.0</v>
      </c>
      <c r="I112" s="347">
        <v>535.0</v>
      </c>
      <c r="J112" s="346">
        <f t="shared" si="116"/>
        <v>1070</v>
      </c>
      <c r="K112" s="347">
        <v>-91.4</v>
      </c>
      <c r="L112" s="347">
        <v>-68.6</v>
      </c>
      <c r="M112" s="346">
        <f t="shared" si="117"/>
        <v>22.8</v>
      </c>
      <c r="N112" s="346">
        <f t="shared" si="118"/>
        <v>0.04787715</v>
      </c>
      <c r="O112" s="347">
        <v>7820.0</v>
      </c>
      <c r="P112" s="346">
        <f t="shared" si="119"/>
        <v>374.399313</v>
      </c>
      <c r="Q112" s="350"/>
      <c r="S112" s="319" t="s">
        <v>411</v>
      </c>
      <c r="T112" s="351" t="s">
        <v>405</v>
      </c>
      <c r="U112" s="321"/>
      <c r="V112" s="321"/>
      <c r="W112" s="345" t="s">
        <v>489</v>
      </c>
      <c r="X112" s="346"/>
      <c r="Y112" s="347">
        <v>4.0</v>
      </c>
      <c r="Z112" s="348">
        <f t="shared" si="120"/>
        <v>568.2375</v>
      </c>
      <c r="AA112" s="348">
        <v>570.2</v>
      </c>
      <c r="AB112" s="349">
        <f t="shared" si="121"/>
        <v>1.9625</v>
      </c>
      <c r="AC112" s="347">
        <v>-91.4</v>
      </c>
      <c r="AD112" s="347">
        <v>-68.6</v>
      </c>
      <c r="AE112" s="346">
        <f t="shared" si="122"/>
        <v>22.8</v>
      </c>
      <c r="AF112" s="347">
        <v>508.4</v>
      </c>
      <c r="AG112" s="347">
        <v>508.4</v>
      </c>
      <c r="AH112" s="346">
        <f t="shared" si="123"/>
        <v>1016.8</v>
      </c>
      <c r="AI112" s="346">
        <f t="shared" si="124"/>
        <v>0.045496716</v>
      </c>
      <c r="AJ112" s="347">
        <v>7820.0</v>
      </c>
      <c r="AK112" s="346">
        <f t="shared" si="125"/>
        <v>355.7843191</v>
      </c>
      <c r="AL112" s="350"/>
      <c r="AM112" s="158"/>
      <c r="AN112" s="158"/>
      <c r="AO112" s="158"/>
    </row>
    <row r="113">
      <c r="B113" s="345" t="s">
        <v>490</v>
      </c>
      <c r="C113" s="346"/>
      <c r="D113" s="347">
        <v>5.0</v>
      </c>
      <c r="E113" s="348">
        <f t="shared" si="114"/>
        <v>568.2375</v>
      </c>
      <c r="F113" s="348">
        <v>570.2</v>
      </c>
      <c r="G113" s="349">
        <f t="shared" si="115"/>
        <v>1.9625</v>
      </c>
      <c r="H113" s="347">
        <v>535.0</v>
      </c>
      <c r="I113" s="347">
        <v>535.0</v>
      </c>
      <c r="J113" s="346">
        <f t="shared" si="116"/>
        <v>1070</v>
      </c>
      <c r="K113" s="347">
        <v>-251.4</v>
      </c>
      <c r="L113" s="347">
        <v>-228.6</v>
      </c>
      <c r="M113" s="346">
        <f t="shared" si="117"/>
        <v>22.8</v>
      </c>
      <c r="N113" s="346">
        <f t="shared" si="118"/>
        <v>0.04787715</v>
      </c>
      <c r="O113" s="347">
        <v>7820.0</v>
      </c>
      <c r="P113" s="346">
        <f t="shared" si="119"/>
        <v>374.399313</v>
      </c>
      <c r="Q113" s="350"/>
      <c r="S113" s="319" t="s">
        <v>413</v>
      </c>
      <c r="T113" s="351" t="s">
        <v>405</v>
      </c>
      <c r="U113" s="321"/>
      <c r="V113" s="321"/>
      <c r="W113" s="345" t="s">
        <v>491</v>
      </c>
      <c r="X113" s="346"/>
      <c r="Y113" s="347">
        <v>5.0</v>
      </c>
      <c r="Z113" s="348">
        <f t="shared" si="120"/>
        <v>568.2375</v>
      </c>
      <c r="AA113" s="348">
        <v>570.2</v>
      </c>
      <c r="AB113" s="349">
        <f t="shared" si="121"/>
        <v>1.9625</v>
      </c>
      <c r="AC113" s="347">
        <v>-252.1</v>
      </c>
      <c r="AD113" s="347">
        <v>-229.3</v>
      </c>
      <c r="AE113" s="346">
        <f t="shared" si="122"/>
        <v>22.8</v>
      </c>
      <c r="AF113" s="347">
        <v>508.4</v>
      </c>
      <c r="AG113" s="347">
        <v>508.4</v>
      </c>
      <c r="AH113" s="346">
        <f t="shared" si="123"/>
        <v>1016.8</v>
      </c>
      <c r="AI113" s="346">
        <f t="shared" si="124"/>
        <v>0.045496716</v>
      </c>
      <c r="AJ113" s="347">
        <v>7820.0</v>
      </c>
      <c r="AK113" s="346">
        <f t="shared" si="125"/>
        <v>355.7843191</v>
      </c>
      <c r="AL113" s="350"/>
      <c r="AM113" s="158"/>
      <c r="AN113" s="158"/>
      <c r="AO113" s="158"/>
    </row>
    <row r="114">
      <c r="B114" s="345" t="s">
        <v>492</v>
      </c>
      <c r="C114" s="346"/>
      <c r="D114" s="347">
        <v>6.0</v>
      </c>
      <c r="E114" s="348">
        <f t="shared" si="114"/>
        <v>568.2375</v>
      </c>
      <c r="F114" s="348">
        <v>570.2</v>
      </c>
      <c r="G114" s="349">
        <f t="shared" si="115"/>
        <v>1.9625</v>
      </c>
      <c r="H114" s="347">
        <v>535.0</v>
      </c>
      <c r="I114" s="347">
        <v>535.0</v>
      </c>
      <c r="J114" s="346">
        <f t="shared" si="116"/>
        <v>1070</v>
      </c>
      <c r="K114" s="347">
        <v>-411.4</v>
      </c>
      <c r="L114" s="347">
        <v>-388.6</v>
      </c>
      <c r="M114" s="346">
        <f t="shared" si="117"/>
        <v>22.8</v>
      </c>
      <c r="N114" s="346">
        <f t="shared" si="118"/>
        <v>0.04787715</v>
      </c>
      <c r="O114" s="347">
        <v>7820.0</v>
      </c>
      <c r="P114" s="346">
        <f t="shared" si="119"/>
        <v>374.399313</v>
      </c>
      <c r="Q114" s="350"/>
      <c r="S114" s="319" t="s">
        <v>415</v>
      </c>
      <c r="T114" s="351" t="s">
        <v>405</v>
      </c>
      <c r="U114" s="321"/>
      <c r="V114" s="321"/>
      <c r="W114" s="345" t="s">
        <v>493</v>
      </c>
      <c r="X114" s="346"/>
      <c r="Y114" s="347">
        <v>6.0</v>
      </c>
      <c r="Z114" s="348">
        <f t="shared" si="120"/>
        <v>568.2375</v>
      </c>
      <c r="AA114" s="348">
        <v>570.2</v>
      </c>
      <c r="AB114" s="349">
        <f t="shared" si="121"/>
        <v>1.9625</v>
      </c>
      <c r="AC114" s="347">
        <v>-411.4</v>
      </c>
      <c r="AD114" s="347">
        <v>-388.6</v>
      </c>
      <c r="AE114" s="346">
        <f t="shared" si="122"/>
        <v>22.8</v>
      </c>
      <c r="AF114" s="347">
        <v>508.4</v>
      </c>
      <c r="AG114" s="347">
        <v>508.4</v>
      </c>
      <c r="AH114" s="346">
        <f t="shared" si="123"/>
        <v>1016.8</v>
      </c>
      <c r="AI114" s="346">
        <f t="shared" si="124"/>
        <v>0.045496716</v>
      </c>
      <c r="AJ114" s="347">
        <v>7820.0</v>
      </c>
      <c r="AK114" s="346">
        <f t="shared" si="125"/>
        <v>355.7843191</v>
      </c>
      <c r="AL114" s="350"/>
      <c r="AM114" s="158"/>
      <c r="AN114" s="158"/>
      <c r="AO114" s="158"/>
    </row>
    <row r="115">
      <c r="B115" s="352"/>
      <c r="C115" s="346"/>
      <c r="D115" s="347" t="s">
        <v>294</v>
      </c>
      <c r="E115" s="346"/>
      <c r="F115" s="346"/>
      <c r="G115" s="346"/>
      <c r="H115" s="346"/>
      <c r="I115" s="346"/>
      <c r="J115" s="346"/>
      <c r="K115" s="346"/>
      <c r="L115" s="346"/>
      <c r="M115" s="346"/>
      <c r="N115" s="346">
        <f>SUM(N109:N114)</f>
        <v>0.2872629</v>
      </c>
      <c r="O115" s="346"/>
      <c r="P115" s="346">
        <f>SUM(P109:P114)</f>
        <v>2246.395878</v>
      </c>
      <c r="Q115" s="350"/>
      <c r="S115" s="321"/>
      <c r="T115" s="321"/>
      <c r="U115" s="321"/>
      <c r="V115" s="321"/>
      <c r="W115" s="352"/>
      <c r="X115" s="346"/>
      <c r="Y115" s="347" t="s">
        <v>294</v>
      </c>
      <c r="Z115" s="346">
        <f>570.5-AB109</f>
        <v>568.5375</v>
      </c>
      <c r="AA115" s="346"/>
      <c r="AB115" s="346"/>
      <c r="AC115" s="346"/>
      <c r="AD115" s="346"/>
      <c r="AE115" s="346"/>
      <c r="AF115" s="346"/>
      <c r="AG115" s="346"/>
      <c r="AH115" s="346"/>
      <c r="AI115" s="346">
        <f>SUM(AI109:AI114)</f>
        <v>0.272980296</v>
      </c>
      <c r="AJ115" s="346"/>
      <c r="AK115" s="346">
        <f>SUM(AK109:AK114)</f>
        <v>2134.705915</v>
      </c>
      <c r="AL115" s="350"/>
      <c r="AM115" s="158">
        <f>AI115+N115</f>
        <v>0.560243196</v>
      </c>
      <c r="AN115" s="158"/>
      <c r="AO115" s="158"/>
    </row>
    <row r="116">
      <c r="B116" s="352"/>
      <c r="C116" s="346"/>
      <c r="D116" s="346"/>
      <c r="E116" s="346"/>
      <c r="F116" s="346"/>
      <c r="G116" s="346"/>
      <c r="H116" s="346"/>
      <c r="I116" s="346"/>
      <c r="J116" s="346"/>
      <c r="K116" s="346"/>
      <c r="L116" s="346"/>
      <c r="M116" s="346"/>
      <c r="N116" s="346"/>
      <c r="O116" s="346"/>
      <c r="P116" s="346">
        <f>P115/1000</f>
        <v>2.246395878</v>
      </c>
      <c r="Q116" s="353" t="s">
        <v>371</v>
      </c>
      <c r="S116" s="321"/>
      <c r="T116" s="321"/>
      <c r="U116" s="321"/>
      <c r="V116" s="321"/>
      <c r="W116" s="352"/>
      <c r="X116" s="346"/>
      <c r="Y116" s="346"/>
      <c r="Z116" s="346"/>
      <c r="AA116" s="346"/>
      <c r="AB116" s="346"/>
      <c r="AC116" s="346"/>
      <c r="AD116" s="346"/>
      <c r="AE116" s="346"/>
      <c r="AF116" s="346"/>
      <c r="AG116" s="346"/>
      <c r="AH116" s="346"/>
      <c r="AI116" s="346"/>
      <c r="AJ116" s="346"/>
      <c r="AK116" s="346">
        <f>AK115/1000</f>
        <v>2.134705915</v>
      </c>
      <c r="AL116" s="353" t="s">
        <v>371</v>
      </c>
      <c r="AM116" s="307"/>
      <c r="AN116" s="307"/>
      <c r="AO116" s="307"/>
    </row>
    <row r="117">
      <c r="B117" s="352"/>
      <c r="C117" s="346"/>
      <c r="D117" s="346"/>
      <c r="E117" s="346"/>
      <c r="F117" s="346"/>
      <c r="G117" s="346"/>
      <c r="H117" s="346"/>
      <c r="I117" s="346"/>
      <c r="J117" s="346"/>
      <c r="K117" s="346"/>
      <c r="L117" s="346"/>
      <c r="M117" s="346"/>
      <c r="N117" s="346"/>
      <c r="O117" s="346"/>
      <c r="P117" s="346"/>
      <c r="Q117" s="353"/>
      <c r="S117" s="321"/>
      <c r="T117" s="321"/>
      <c r="U117" s="321"/>
      <c r="V117" s="321"/>
      <c r="W117" s="352"/>
      <c r="X117" s="346"/>
      <c r="Y117" s="346"/>
      <c r="Z117" s="346"/>
      <c r="AA117" s="346"/>
      <c r="AB117" s="346"/>
      <c r="AC117" s="346"/>
      <c r="AD117" s="346"/>
      <c r="AE117" s="346"/>
      <c r="AF117" s="346"/>
      <c r="AG117" s="346"/>
      <c r="AH117" s="346"/>
      <c r="AI117" s="346"/>
      <c r="AJ117" s="346"/>
      <c r="AK117" s="346"/>
      <c r="AL117" s="353"/>
      <c r="AM117" s="307"/>
      <c r="AN117" s="307"/>
      <c r="AO117" s="307"/>
    </row>
    <row r="118">
      <c r="B118" s="354" t="s">
        <v>330</v>
      </c>
      <c r="C118" s="347" t="s">
        <v>416</v>
      </c>
      <c r="D118" s="362" t="s">
        <v>431</v>
      </c>
      <c r="E118" s="347" t="s">
        <v>333</v>
      </c>
      <c r="F118" s="347" t="s">
        <v>334</v>
      </c>
      <c r="G118" s="347" t="s">
        <v>335</v>
      </c>
      <c r="H118" s="347" t="s">
        <v>336</v>
      </c>
      <c r="I118" s="347" t="s">
        <v>337</v>
      </c>
      <c r="J118" s="347" t="s">
        <v>338</v>
      </c>
      <c r="K118" s="347" t="s">
        <v>339</v>
      </c>
      <c r="L118" s="347" t="s">
        <v>340</v>
      </c>
      <c r="M118" s="347" t="s">
        <v>341</v>
      </c>
      <c r="N118" s="347" t="s">
        <v>235</v>
      </c>
      <c r="O118" s="347" t="s">
        <v>342</v>
      </c>
      <c r="P118" s="347" t="s">
        <v>229</v>
      </c>
      <c r="Q118" s="350"/>
      <c r="S118" s="321"/>
      <c r="T118" s="321"/>
      <c r="U118" s="321"/>
      <c r="V118" s="321"/>
      <c r="W118" s="354" t="s">
        <v>330</v>
      </c>
      <c r="X118" s="347" t="s">
        <v>416</v>
      </c>
      <c r="Y118" s="362" t="s">
        <v>431</v>
      </c>
      <c r="Z118" s="347" t="s">
        <v>333</v>
      </c>
      <c r="AA118" s="347" t="s">
        <v>334</v>
      </c>
      <c r="AB118" s="347" t="s">
        <v>335</v>
      </c>
      <c r="AC118" s="347" t="s">
        <v>336</v>
      </c>
      <c r="AD118" s="347" t="s">
        <v>337</v>
      </c>
      <c r="AE118" s="347" t="s">
        <v>338</v>
      </c>
      <c r="AF118" s="347" t="s">
        <v>339</v>
      </c>
      <c r="AG118" s="347" t="s">
        <v>340</v>
      </c>
      <c r="AH118" s="347" t="s">
        <v>341</v>
      </c>
      <c r="AI118" s="347" t="s">
        <v>235</v>
      </c>
      <c r="AJ118" s="347" t="s">
        <v>342</v>
      </c>
      <c r="AK118" s="347" t="s">
        <v>229</v>
      </c>
      <c r="AL118" s="350"/>
      <c r="AM118" s="158"/>
      <c r="AN118" s="158"/>
      <c r="AO118" s="158"/>
    </row>
    <row r="119">
      <c r="B119" s="345" t="s">
        <v>494</v>
      </c>
      <c r="C119" s="346"/>
      <c r="D119" s="347">
        <v>1.0</v>
      </c>
      <c r="E119" s="348">
        <v>570.2</v>
      </c>
      <c r="F119" s="348">
        <f t="shared" ref="F119:F124" si="126">E119-1.9625</f>
        <v>568.2375</v>
      </c>
      <c r="G119" s="349">
        <f t="shared" ref="G119:G124" si="127">E119-F119</f>
        <v>1.9625</v>
      </c>
      <c r="H119" s="347">
        <v>-535.0</v>
      </c>
      <c r="I119" s="347">
        <v>535.0</v>
      </c>
      <c r="J119" s="346">
        <f t="shared" ref="J119:J124" si="128">I119-H119</f>
        <v>1070</v>
      </c>
      <c r="K119" s="347">
        <v>388.6</v>
      </c>
      <c r="L119" s="347">
        <v>411.4</v>
      </c>
      <c r="M119" s="346">
        <f t="shared" ref="M119:M124" si="129">L119-K119</f>
        <v>22.8</v>
      </c>
      <c r="N119" s="346">
        <f t="shared" ref="N119:N124" si="130">(G119*J119*M119)/1000000</f>
        <v>0.04787715</v>
      </c>
      <c r="O119" s="347">
        <v>7820.0</v>
      </c>
      <c r="P119" s="346">
        <f t="shared" ref="P119:P124" si="131">N119*O119</f>
        <v>374.399313</v>
      </c>
      <c r="Q119" s="350"/>
      <c r="S119" s="319" t="s">
        <v>418</v>
      </c>
      <c r="T119" s="319" t="s">
        <v>419</v>
      </c>
      <c r="W119" s="345" t="s">
        <v>495</v>
      </c>
      <c r="X119" s="346"/>
      <c r="Y119" s="347">
        <v>1.0</v>
      </c>
      <c r="Z119" s="348">
        <v>570.2</v>
      </c>
      <c r="AA119" s="348">
        <f t="shared" ref="AA119:AA124" si="132">Z119-1.9625</f>
        <v>568.2375</v>
      </c>
      <c r="AB119" s="349">
        <f t="shared" ref="AB119:AB124" si="133">Z119-AA119</f>
        <v>1.9625</v>
      </c>
      <c r="AC119" s="347">
        <v>388.6</v>
      </c>
      <c r="AD119" s="347">
        <v>411.4</v>
      </c>
      <c r="AE119" s="346">
        <f t="shared" ref="AE119:AE124" si="134">AD119-AC119</f>
        <v>22.8</v>
      </c>
      <c r="AF119" s="347">
        <v>508.4</v>
      </c>
      <c r="AG119" s="347">
        <v>508.4</v>
      </c>
      <c r="AH119" s="346">
        <f t="shared" ref="AH119:AH124" si="135">AG119+AF119</f>
        <v>1016.8</v>
      </c>
      <c r="AI119" s="346">
        <f t="shared" ref="AI119:AI124" si="136">(AB119*AE119*AH119)/1000000</f>
        <v>0.045496716</v>
      </c>
      <c r="AJ119" s="347">
        <v>7820.0</v>
      </c>
      <c r="AK119" s="346">
        <f t="shared" ref="AK119:AK124" si="137">AI119*AJ119</f>
        <v>355.7843191</v>
      </c>
      <c r="AL119" s="350"/>
      <c r="AM119" s="158"/>
      <c r="AN119" s="158"/>
      <c r="AO119" s="158"/>
    </row>
    <row r="120">
      <c r="B120" s="345" t="s">
        <v>496</v>
      </c>
      <c r="C120" s="346"/>
      <c r="D120" s="347">
        <v>2.0</v>
      </c>
      <c r="E120" s="348">
        <v>570.2</v>
      </c>
      <c r="F120" s="348">
        <f t="shared" si="126"/>
        <v>568.2375</v>
      </c>
      <c r="G120" s="349">
        <f t="shared" si="127"/>
        <v>1.9625</v>
      </c>
      <c r="H120" s="347">
        <v>-535.0</v>
      </c>
      <c r="I120" s="347">
        <v>535.0</v>
      </c>
      <c r="J120" s="346">
        <f t="shared" si="128"/>
        <v>1070</v>
      </c>
      <c r="K120" s="347">
        <v>228.6</v>
      </c>
      <c r="L120" s="347">
        <v>251.4</v>
      </c>
      <c r="M120" s="346">
        <f t="shared" si="129"/>
        <v>22.8</v>
      </c>
      <c r="N120" s="346">
        <f t="shared" si="130"/>
        <v>0.04787715</v>
      </c>
      <c r="O120" s="347">
        <v>7820.0</v>
      </c>
      <c r="P120" s="346">
        <f t="shared" si="131"/>
        <v>374.399313</v>
      </c>
      <c r="Q120" s="350"/>
      <c r="S120" s="319" t="s">
        <v>421</v>
      </c>
      <c r="T120" s="319" t="s">
        <v>419</v>
      </c>
      <c r="W120" s="345" t="s">
        <v>497</v>
      </c>
      <c r="X120" s="346"/>
      <c r="Y120" s="347">
        <v>2.0</v>
      </c>
      <c r="Z120" s="348">
        <v>570.2</v>
      </c>
      <c r="AA120" s="348">
        <f t="shared" si="132"/>
        <v>568.2375</v>
      </c>
      <c r="AB120" s="349">
        <f t="shared" si="133"/>
        <v>1.9625</v>
      </c>
      <c r="AC120" s="347">
        <v>228.6</v>
      </c>
      <c r="AD120" s="347">
        <v>251.4</v>
      </c>
      <c r="AE120" s="346">
        <f t="shared" si="134"/>
        <v>22.8</v>
      </c>
      <c r="AF120" s="347">
        <v>508.4</v>
      </c>
      <c r="AG120" s="347">
        <v>508.4</v>
      </c>
      <c r="AH120" s="346">
        <f t="shared" si="135"/>
        <v>1016.8</v>
      </c>
      <c r="AI120" s="346">
        <f t="shared" si="136"/>
        <v>0.045496716</v>
      </c>
      <c r="AJ120" s="347">
        <v>7820.0</v>
      </c>
      <c r="AK120" s="346">
        <f t="shared" si="137"/>
        <v>355.7843191</v>
      </c>
      <c r="AL120" s="350"/>
      <c r="AM120" s="158"/>
      <c r="AN120" s="158"/>
      <c r="AO120" s="158"/>
    </row>
    <row r="121">
      <c r="B121" s="345" t="s">
        <v>498</v>
      </c>
      <c r="C121" s="346"/>
      <c r="D121" s="347">
        <v>3.0</v>
      </c>
      <c r="E121" s="348">
        <v>570.2</v>
      </c>
      <c r="F121" s="348">
        <f t="shared" si="126"/>
        <v>568.2375</v>
      </c>
      <c r="G121" s="349">
        <f t="shared" si="127"/>
        <v>1.9625</v>
      </c>
      <c r="H121" s="347">
        <v>-535.0</v>
      </c>
      <c r="I121" s="347">
        <v>535.0</v>
      </c>
      <c r="J121" s="346">
        <f t="shared" si="128"/>
        <v>1070</v>
      </c>
      <c r="K121" s="347">
        <v>68.6</v>
      </c>
      <c r="L121" s="347">
        <v>91.4</v>
      </c>
      <c r="M121" s="346">
        <f t="shared" si="129"/>
        <v>22.8</v>
      </c>
      <c r="N121" s="346">
        <f t="shared" si="130"/>
        <v>0.04787715</v>
      </c>
      <c r="O121" s="347">
        <v>7820.0</v>
      </c>
      <c r="P121" s="346">
        <f t="shared" si="131"/>
        <v>374.399313</v>
      </c>
      <c r="Q121" s="350"/>
      <c r="S121" s="319" t="s">
        <v>423</v>
      </c>
      <c r="T121" s="319" t="s">
        <v>419</v>
      </c>
      <c r="W121" s="345" t="s">
        <v>499</v>
      </c>
      <c r="X121" s="346"/>
      <c r="Y121" s="347">
        <v>3.0</v>
      </c>
      <c r="Z121" s="348">
        <v>570.2</v>
      </c>
      <c r="AA121" s="348">
        <f t="shared" si="132"/>
        <v>568.2375</v>
      </c>
      <c r="AB121" s="349">
        <f t="shared" si="133"/>
        <v>1.9625</v>
      </c>
      <c r="AC121" s="347">
        <v>68.6</v>
      </c>
      <c r="AD121" s="347">
        <v>91.4</v>
      </c>
      <c r="AE121" s="346">
        <f t="shared" si="134"/>
        <v>22.8</v>
      </c>
      <c r="AF121" s="347">
        <v>508.4</v>
      </c>
      <c r="AG121" s="347">
        <v>508.4</v>
      </c>
      <c r="AH121" s="346">
        <f t="shared" si="135"/>
        <v>1016.8</v>
      </c>
      <c r="AI121" s="346">
        <f t="shared" si="136"/>
        <v>0.045496716</v>
      </c>
      <c r="AJ121" s="347">
        <v>7820.0</v>
      </c>
      <c r="AK121" s="346">
        <f t="shared" si="137"/>
        <v>355.7843191</v>
      </c>
      <c r="AL121" s="350"/>
      <c r="AM121" s="158"/>
      <c r="AN121" s="158"/>
      <c r="AO121" s="158"/>
    </row>
    <row r="122">
      <c r="B122" s="345" t="s">
        <v>500</v>
      </c>
      <c r="C122" s="346"/>
      <c r="D122" s="347">
        <v>4.0</v>
      </c>
      <c r="E122" s="348">
        <v>570.2</v>
      </c>
      <c r="F122" s="348">
        <f t="shared" si="126"/>
        <v>568.2375</v>
      </c>
      <c r="G122" s="349">
        <f t="shared" si="127"/>
        <v>1.9625</v>
      </c>
      <c r="H122" s="347">
        <v>-535.0</v>
      </c>
      <c r="I122" s="347">
        <v>535.0</v>
      </c>
      <c r="J122" s="346">
        <f t="shared" si="128"/>
        <v>1070</v>
      </c>
      <c r="K122" s="347">
        <v>-91.4</v>
      </c>
      <c r="L122" s="347">
        <v>-68.6</v>
      </c>
      <c r="M122" s="346">
        <f t="shared" si="129"/>
        <v>22.8</v>
      </c>
      <c r="N122" s="346">
        <f t="shared" si="130"/>
        <v>0.04787715</v>
      </c>
      <c r="O122" s="347">
        <v>7820.0</v>
      </c>
      <c r="P122" s="346">
        <f t="shared" si="131"/>
        <v>374.399313</v>
      </c>
      <c r="Q122" s="350"/>
      <c r="S122" s="319" t="s">
        <v>425</v>
      </c>
      <c r="T122" s="319" t="s">
        <v>419</v>
      </c>
      <c r="W122" s="345" t="s">
        <v>501</v>
      </c>
      <c r="X122" s="346"/>
      <c r="Y122" s="347">
        <v>4.0</v>
      </c>
      <c r="Z122" s="348">
        <v>570.2</v>
      </c>
      <c r="AA122" s="348">
        <f t="shared" si="132"/>
        <v>568.2375</v>
      </c>
      <c r="AB122" s="349">
        <f t="shared" si="133"/>
        <v>1.9625</v>
      </c>
      <c r="AC122" s="347">
        <v>-91.4</v>
      </c>
      <c r="AD122" s="347">
        <v>-68.6</v>
      </c>
      <c r="AE122" s="346">
        <f t="shared" si="134"/>
        <v>22.8</v>
      </c>
      <c r="AF122" s="347">
        <v>508.4</v>
      </c>
      <c r="AG122" s="347">
        <v>508.4</v>
      </c>
      <c r="AH122" s="346">
        <f t="shared" si="135"/>
        <v>1016.8</v>
      </c>
      <c r="AI122" s="346">
        <f t="shared" si="136"/>
        <v>0.045496716</v>
      </c>
      <c r="AJ122" s="347">
        <v>7820.0</v>
      </c>
      <c r="AK122" s="346">
        <f t="shared" si="137"/>
        <v>355.7843191</v>
      </c>
      <c r="AL122" s="350"/>
      <c r="AM122" s="158"/>
      <c r="AN122" s="158"/>
      <c r="AO122" s="158"/>
    </row>
    <row r="123">
      <c r="B123" s="345" t="s">
        <v>502</v>
      </c>
      <c r="C123" s="346"/>
      <c r="D123" s="347">
        <v>5.0</v>
      </c>
      <c r="E123" s="348">
        <v>570.2</v>
      </c>
      <c r="F123" s="348">
        <f t="shared" si="126"/>
        <v>568.2375</v>
      </c>
      <c r="G123" s="349">
        <f t="shared" si="127"/>
        <v>1.9625</v>
      </c>
      <c r="H123" s="347">
        <v>-535.0</v>
      </c>
      <c r="I123" s="347">
        <v>535.0</v>
      </c>
      <c r="J123" s="346">
        <f t="shared" si="128"/>
        <v>1070</v>
      </c>
      <c r="K123" s="347">
        <v>-251.4</v>
      </c>
      <c r="L123" s="347">
        <v>-228.6</v>
      </c>
      <c r="M123" s="346">
        <f t="shared" si="129"/>
        <v>22.8</v>
      </c>
      <c r="N123" s="346">
        <f t="shared" si="130"/>
        <v>0.04787715</v>
      </c>
      <c r="O123" s="347">
        <v>7820.0</v>
      </c>
      <c r="P123" s="346">
        <f t="shared" si="131"/>
        <v>374.399313</v>
      </c>
      <c r="Q123" s="350"/>
      <c r="S123" s="319" t="s">
        <v>427</v>
      </c>
      <c r="T123" s="319" t="s">
        <v>419</v>
      </c>
      <c r="W123" s="345" t="s">
        <v>503</v>
      </c>
      <c r="X123" s="346"/>
      <c r="Y123" s="347">
        <v>5.0</v>
      </c>
      <c r="Z123" s="348">
        <v>570.2</v>
      </c>
      <c r="AA123" s="348">
        <f t="shared" si="132"/>
        <v>568.2375</v>
      </c>
      <c r="AB123" s="349">
        <f t="shared" si="133"/>
        <v>1.9625</v>
      </c>
      <c r="AC123" s="347">
        <v>-252.1</v>
      </c>
      <c r="AD123" s="347">
        <v>-229.3</v>
      </c>
      <c r="AE123" s="346">
        <f t="shared" si="134"/>
        <v>22.8</v>
      </c>
      <c r="AF123" s="347">
        <v>508.4</v>
      </c>
      <c r="AG123" s="347">
        <v>508.4</v>
      </c>
      <c r="AH123" s="346">
        <f t="shared" si="135"/>
        <v>1016.8</v>
      </c>
      <c r="AI123" s="346">
        <f t="shared" si="136"/>
        <v>0.045496716</v>
      </c>
      <c r="AJ123" s="347">
        <v>7820.0</v>
      </c>
      <c r="AK123" s="346">
        <f t="shared" si="137"/>
        <v>355.7843191</v>
      </c>
      <c r="AL123" s="350"/>
      <c r="AM123" s="158"/>
      <c r="AN123" s="158"/>
      <c r="AO123" s="158"/>
    </row>
    <row r="124">
      <c r="B124" s="345" t="s">
        <v>587</v>
      </c>
      <c r="C124" s="346"/>
      <c r="D124" s="347">
        <v>6.0</v>
      </c>
      <c r="E124" s="348">
        <v>570.2</v>
      </c>
      <c r="F124" s="348">
        <f t="shared" si="126"/>
        <v>568.2375</v>
      </c>
      <c r="G124" s="349">
        <f t="shared" si="127"/>
        <v>1.9625</v>
      </c>
      <c r="H124" s="347">
        <v>-535.0</v>
      </c>
      <c r="I124" s="347">
        <v>535.0</v>
      </c>
      <c r="J124" s="346">
        <f t="shared" si="128"/>
        <v>1070</v>
      </c>
      <c r="K124" s="347">
        <v>-411.4</v>
      </c>
      <c r="L124" s="347">
        <v>-388.6</v>
      </c>
      <c r="M124" s="346">
        <f t="shared" si="129"/>
        <v>22.8</v>
      </c>
      <c r="N124" s="346">
        <f t="shared" si="130"/>
        <v>0.04787715</v>
      </c>
      <c r="O124" s="347">
        <v>7820.0</v>
      </c>
      <c r="P124" s="346">
        <f t="shared" si="131"/>
        <v>374.399313</v>
      </c>
      <c r="Q124" s="350"/>
      <c r="S124" s="319" t="s">
        <v>429</v>
      </c>
      <c r="T124" s="319" t="s">
        <v>419</v>
      </c>
      <c r="W124" s="345" t="s">
        <v>505</v>
      </c>
      <c r="X124" s="346"/>
      <c r="Y124" s="347">
        <v>6.0</v>
      </c>
      <c r="Z124" s="348">
        <v>570.2</v>
      </c>
      <c r="AA124" s="348">
        <f t="shared" si="132"/>
        <v>568.2375</v>
      </c>
      <c r="AB124" s="349">
        <f t="shared" si="133"/>
        <v>1.9625</v>
      </c>
      <c r="AC124" s="347">
        <v>-411.4</v>
      </c>
      <c r="AD124" s="347">
        <v>-388.6</v>
      </c>
      <c r="AE124" s="346">
        <f t="shared" si="134"/>
        <v>22.8</v>
      </c>
      <c r="AF124" s="347">
        <v>508.4</v>
      </c>
      <c r="AG124" s="347">
        <v>508.4</v>
      </c>
      <c r="AH124" s="346">
        <f t="shared" si="135"/>
        <v>1016.8</v>
      </c>
      <c r="AI124" s="346">
        <f t="shared" si="136"/>
        <v>0.045496716</v>
      </c>
      <c r="AJ124" s="347">
        <v>7820.0</v>
      </c>
      <c r="AK124" s="346">
        <f t="shared" si="137"/>
        <v>355.7843191</v>
      </c>
      <c r="AL124" s="350"/>
      <c r="AM124" s="158"/>
      <c r="AN124" s="158"/>
      <c r="AO124" s="158"/>
    </row>
    <row r="125">
      <c r="B125" s="352"/>
      <c r="C125" s="346"/>
      <c r="D125" s="347" t="s">
        <v>294</v>
      </c>
      <c r="E125" s="346"/>
      <c r="F125" s="346"/>
      <c r="G125" s="346"/>
      <c r="H125" s="346"/>
      <c r="I125" s="346"/>
      <c r="J125" s="346"/>
      <c r="K125" s="346"/>
      <c r="L125" s="346"/>
      <c r="M125" s="346"/>
      <c r="N125" s="346">
        <f>SUM(N119:N124)</f>
        <v>0.2872629</v>
      </c>
      <c r="O125" s="346"/>
      <c r="P125" s="346">
        <f>SUM(P119:P124)</f>
        <v>2246.395878</v>
      </c>
      <c r="Q125" s="350"/>
      <c r="S125" s="321"/>
      <c r="T125" s="321"/>
      <c r="U125" s="321"/>
      <c r="V125" s="321"/>
      <c r="W125" s="352"/>
      <c r="X125" s="346"/>
      <c r="Y125" s="347" t="s">
        <v>294</v>
      </c>
      <c r="Z125" s="346"/>
      <c r="AA125" s="346"/>
      <c r="AB125" s="346"/>
      <c r="AC125" s="346"/>
      <c r="AD125" s="346"/>
      <c r="AE125" s="346"/>
      <c r="AF125" s="346"/>
      <c r="AG125" s="346"/>
      <c r="AH125" s="346"/>
      <c r="AI125" s="346">
        <f>SUM(AI119:AI124)</f>
        <v>0.272980296</v>
      </c>
      <c r="AJ125" s="346"/>
      <c r="AK125" s="346">
        <f>SUM(AK119:AK124)</f>
        <v>2134.705915</v>
      </c>
      <c r="AL125" s="350"/>
      <c r="AM125" s="158">
        <f>AI125+N125</f>
        <v>0.560243196</v>
      </c>
      <c r="AN125" s="158"/>
      <c r="AO125" s="158"/>
    </row>
    <row r="126">
      <c r="B126" s="355"/>
      <c r="C126" s="356"/>
      <c r="D126" s="356"/>
      <c r="E126" s="356"/>
      <c r="F126" s="356"/>
      <c r="G126" s="356"/>
      <c r="H126" s="356"/>
      <c r="I126" s="356"/>
      <c r="J126" s="356"/>
      <c r="K126" s="356"/>
      <c r="L126" s="356"/>
      <c r="M126" s="356"/>
      <c r="N126" s="356"/>
      <c r="O126" s="356"/>
      <c r="P126" s="356">
        <f>P125/1000</f>
        <v>2.246395878</v>
      </c>
      <c r="Q126" s="357" t="s">
        <v>371</v>
      </c>
      <c r="S126" s="321"/>
      <c r="T126" s="321"/>
      <c r="U126" s="321"/>
      <c r="V126" s="321"/>
      <c r="W126" s="355"/>
      <c r="X126" s="356"/>
      <c r="Y126" s="356"/>
      <c r="Z126" s="356"/>
      <c r="AA126" s="356"/>
      <c r="AB126" s="356"/>
      <c r="AC126" s="356"/>
      <c r="AD126" s="356"/>
      <c r="AE126" s="356"/>
      <c r="AF126" s="356"/>
      <c r="AG126" s="356"/>
      <c r="AH126" s="356"/>
      <c r="AI126" s="356"/>
      <c r="AJ126" s="356"/>
      <c r="AK126" s="356">
        <f>AK125/1000</f>
        <v>2.134705915</v>
      </c>
      <c r="AL126" s="357" t="s">
        <v>371</v>
      </c>
      <c r="AM126" s="307"/>
      <c r="AN126" s="307"/>
      <c r="AO126" s="307"/>
    </row>
    <row r="127">
      <c r="AM127" s="158"/>
      <c r="AN127" s="158"/>
      <c r="AO127" s="158"/>
    </row>
    <row r="128">
      <c r="AM128" s="158"/>
      <c r="AN128" s="158"/>
      <c r="AO128" s="158"/>
    </row>
    <row r="129">
      <c r="N129" s="147">
        <f>2.8-1.125</f>
        <v>1.675</v>
      </c>
      <c r="O129" s="147">
        <f>2.8-N130</f>
        <v>1.9625</v>
      </c>
      <c r="AM129" s="158"/>
      <c r="AN129" s="158"/>
      <c r="AO129" s="158"/>
    </row>
    <row r="130">
      <c r="N130" s="147">
        <f>N129/2</f>
        <v>0.8375</v>
      </c>
      <c r="O130" s="147">
        <f>1.125+N130</f>
        <v>1.9625</v>
      </c>
      <c r="AM130" s="158"/>
      <c r="AN130" s="158"/>
      <c r="AO130" s="158"/>
    </row>
    <row r="131">
      <c r="AM131" s="158"/>
      <c r="AN131" s="158"/>
      <c r="AO131" s="158"/>
    </row>
    <row r="132">
      <c r="B132" s="308" t="s">
        <v>330</v>
      </c>
      <c r="C132" s="309" t="s">
        <v>331</v>
      </c>
      <c r="D132" s="309" t="s">
        <v>506</v>
      </c>
      <c r="E132" s="309" t="s">
        <v>333</v>
      </c>
      <c r="F132" s="309" t="s">
        <v>334</v>
      </c>
      <c r="G132" s="309" t="s">
        <v>335</v>
      </c>
      <c r="H132" s="309" t="s">
        <v>336</v>
      </c>
      <c r="I132" s="309" t="s">
        <v>337</v>
      </c>
      <c r="J132" s="309" t="s">
        <v>338</v>
      </c>
      <c r="K132" s="309" t="s">
        <v>339</v>
      </c>
      <c r="L132" s="309" t="s">
        <v>340</v>
      </c>
      <c r="M132" s="309" t="s">
        <v>341</v>
      </c>
      <c r="N132" s="309" t="s">
        <v>235</v>
      </c>
      <c r="O132" s="309" t="s">
        <v>342</v>
      </c>
      <c r="P132" s="309" t="s">
        <v>229</v>
      </c>
      <c r="Q132" s="310"/>
      <c r="R132" s="311" t="s">
        <v>240</v>
      </c>
      <c r="W132" s="308" t="s">
        <v>330</v>
      </c>
      <c r="X132" s="309" t="s">
        <v>331</v>
      </c>
      <c r="Y132" s="364" t="s">
        <v>506</v>
      </c>
      <c r="Z132" s="309" t="s">
        <v>333</v>
      </c>
      <c r="AA132" s="309" t="s">
        <v>334</v>
      </c>
      <c r="AB132" s="309" t="s">
        <v>335</v>
      </c>
      <c r="AC132" s="309" t="s">
        <v>336</v>
      </c>
      <c r="AD132" s="309" t="s">
        <v>337</v>
      </c>
      <c r="AE132" s="309" t="s">
        <v>338</v>
      </c>
      <c r="AF132" s="309" t="s">
        <v>339</v>
      </c>
      <c r="AG132" s="309" t="s">
        <v>340</v>
      </c>
      <c r="AH132" s="309" t="s">
        <v>341</v>
      </c>
      <c r="AI132" s="309" t="s">
        <v>235</v>
      </c>
      <c r="AJ132" s="309" t="s">
        <v>342</v>
      </c>
      <c r="AK132" s="309" t="s">
        <v>229</v>
      </c>
      <c r="AL132" s="310"/>
      <c r="AM132" s="158"/>
      <c r="AN132" s="158"/>
      <c r="AO132" s="158"/>
    </row>
    <row r="133">
      <c r="B133" s="312" t="s">
        <v>507</v>
      </c>
      <c r="C133" s="313"/>
      <c r="D133" s="314">
        <v>1.0</v>
      </c>
      <c r="E133" s="314">
        <v>570.2</v>
      </c>
      <c r="F133" s="314">
        <v>570.2</v>
      </c>
      <c r="G133" s="315">
        <f t="shared" ref="G133:G138" si="138">SUM(E133:F133)</f>
        <v>1140.4</v>
      </c>
      <c r="H133" s="316">
        <v>411.4</v>
      </c>
      <c r="I133" s="316">
        <v>388.6</v>
      </c>
      <c r="J133" s="313">
        <f t="shared" ref="J133:J138" si="139">H133-I133</f>
        <v>22.8</v>
      </c>
      <c r="K133" s="316">
        <v>510.075</v>
      </c>
      <c r="L133" s="316">
        <f t="shared" ref="L133:L138" si="140">511.2+0.8375</f>
        <v>512.0375</v>
      </c>
      <c r="M133" s="313">
        <f t="shared" ref="M133:M138" si="141">L133-K133</f>
        <v>1.9625</v>
      </c>
      <c r="N133" s="313">
        <f t="shared" ref="N133:N138" si="142">(G133*J133*M133)/1000000</f>
        <v>0.051027198</v>
      </c>
      <c r="O133" s="316">
        <v>7820.0</v>
      </c>
      <c r="P133" s="313">
        <f t="shared" ref="P133:P138" si="143">N133*O133</f>
        <v>399.0326884</v>
      </c>
      <c r="Q133" s="317"/>
      <c r="R133" s="318">
        <f>SUM(P140,P150,P160,P170,P180,P190,AK140,AK150,AK160,AK170,AK180,AK190)</f>
        <v>26.84170148</v>
      </c>
      <c r="S133" s="319" t="s">
        <v>432</v>
      </c>
      <c r="T133" s="319" t="s">
        <v>433</v>
      </c>
      <c r="W133" s="312" t="s">
        <v>508</v>
      </c>
      <c r="X133" s="313"/>
      <c r="Y133" s="314">
        <v>1.0</v>
      </c>
      <c r="Z133" s="314">
        <v>-411.4</v>
      </c>
      <c r="AA133" s="314">
        <v>-388.6</v>
      </c>
      <c r="AB133" s="315">
        <f t="shared" ref="AB133:AB138" si="144">AA133-Z133</f>
        <v>22.8</v>
      </c>
      <c r="AC133" s="316">
        <v>535.0</v>
      </c>
      <c r="AD133" s="316">
        <v>535.0</v>
      </c>
      <c r="AE133" s="313">
        <f t="shared" ref="AE133:AE138" si="145">AD133+AC133</f>
        <v>1070</v>
      </c>
      <c r="AF133" s="316">
        <v>510.075</v>
      </c>
      <c r="AG133" s="316">
        <f t="shared" ref="AG133:AG138" si="146">AF133+1.9625</f>
        <v>512.0375</v>
      </c>
      <c r="AH133" s="313">
        <f t="shared" ref="AH133:AH138" si="147">AG133-AF133</f>
        <v>1.9625</v>
      </c>
      <c r="AI133" s="313">
        <f t="shared" ref="AI133:AI138" si="148">(AB133*AE133*AH133)/1000000</f>
        <v>0.04787715</v>
      </c>
      <c r="AJ133" s="316">
        <v>7820.0</v>
      </c>
      <c r="AK133" s="313">
        <f t="shared" ref="AK133:AK138" si="149">AI133*AJ133</f>
        <v>374.399313</v>
      </c>
      <c r="AL133" s="317"/>
      <c r="AM133" s="158"/>
      <c r="AN133" s="158"/>
      <c r="AO133" s="158"/>
    </row>
    <row r="134">
      <c r="B134" s="312" t="s">
        <v>509</v>
      </c>
      <c r="C134" s="313"/>
      <c r="D134" s="314">
        <v>2.0</v>
      </c>
      <c r="E134" s="314">
        <v>570.2</v>
      </c>
      <c r="F134" s="314">
        <v>570.2</v>
      </c>
      <c r="G134" s="315">
        <f t="shared" si="138"/>
        <v>1140.4</v>
      </c>
      <c r="H134" s="316">
        <v>251.4</v>
      </c>
      <c r="I134" s="316">
        <v>228.6</v>
      </c>
      <c r="J134" s="313">
        <f t="shared" si="139"/>
        <v>22.8</v>
      </c>
      <c r="K134" s="316">
        <v>510.075</v>
      </c>
      <c r="L134" s="316">
        <f t="shared" si="140"/>
        <v>512.0375</v>
      </c>
      <c r="M134" s="313">
        <f t="shared" si="141"/>
        <v>1.9625</v>
      </c>
      <c r="N134" s="313">
        <f t="shared" si="142"/>
        <v>0.051027198</v>
      </c>
      <c r="O134" s="316">
        <v>7820.0</v>
      </c>
      <c r="P134" s="313">
        <f t="shared" si="143"/>
        <v>399.0326884</v>
      </c>
      <c r="Q134" s="317"/>
      <c r="S134" s="319" t="s">
        <v>435</v>
      </c>
      <c r="T134" s="319" t="s">
        <v>433</v>
      </c>
      <c r="W134" s="323" t="s">
        <v>510</v>
      </c>
      <c r="X134" s="313"/>
      <c r="Y134" s="314">
        <v>2.0</v>
      </c>
      <c r="Z134" s="314">
        <v>-251.4</v>
      </c>
      <c r="AA134" s="314">
        <v>-228.6</v>
      </c>
      <c r="AB134" s="315">
        <f t="shared" si="144"/>
        <v>22.8</v>
      </c>
      <c r="AC134" s="316">
        <v>535.0</v>
      </c>
      <c r="AD134" s="316">
        <v>535.0</v>
      </c>
      <c r="AE134" s="313">
        <f t="shared" si="145"/>
        <v>1070</v>
      </c>
      <c r="AF134" s="316">
        <v>510.075</v>
      </c>
      <c r="AG134" s="316">
        <f t="shared" si="146"/>
        <v>512.0375</v>
      </c>
      <c r="AH134" s="313">
        <f t="shared" si="147"/>
        <v>1.9625</v>
      </c>
      <c r="AI134" s="313">
        <f t="shared" si="148"/>
        <v>0.04787715</v>
      </c>
      <c r="AJ134" s="316">
        <v>7820.0</v>
      </c>
      <c r="AK134" s="313">
        <f t="shared" si="149"/>
        <v>374.399313</v>
      </c>
      <c r="AL134" s="317"/>
      <c r="AM134" s="158"/>
      <c r="AN134" s="158"/>
      <c r="AO134" s="158"/>
    </row>
    <row r="135">
      <c r="B135" s="312" t="s">
        <v>511</v>
      </c>
      <c r="C135" s="313"/>
      <c r="D135" s="314">
        <v>3.0</v>
      </c>
      <c r="E135" s="314">
        <v>570.2</v>
      </c>
      <c r="F135" s="314">
        <v>570.2</v>
      </c>
      <c r="G135" s="315">
        <f t="shared" si="138"/>
        <v>1140.4</v>
      </c>
      <c r="H135" s="316">
        <v>91.4</v>
      </c>
      <c r="I135" s="316">
        <v>68.6</v>
      </c>
      <c r="J135" s="313">
        <f t="shared" si="139"/>
        <v>22.8</v>
      </c>
      <c r="K135" s="316">
        <v>510.075</v>
      </c>
      <c r="L135" s="316">
        <f t="shared" si="140"/>
        <v>512.0375</v>
      </c>
      <c r="M135" s="313">
        <f t="shared" si="141"/>
        <v>1.9625</v>
      </c>
      <c r="N135" s="313">
        <f t="shared" si="142"/>
        <v>0.051027198</v>
      </c>
      <c r="O135" s="316">
        <v>7820.0</v>
      </c>
      <c r="P135" s="313">
        <f t="shared" si="143"/>
        <v>399.0326884</v>
      </c>
      <c r="Q135" s="317"/>
      <c r="S135" s="319" t="s">
        <v>437</v>
      </c>
      <c r="T135" s="319" t="s">
        <v>433</v>
      </c>
      <c r="W135" s="323" t="s">
        <v>512</v>
      </c>
      <c r="X135" s="313"/>
      <c r="Y135" s="314">
        <v>3.0</v>
      </c>
      <c r="Z135" s="314">
        <v>-91.4</v>
      </c>
      <c r="AA135" s="314">
        <v>-68.6</v>
      </c>
      <c r="AB135" s="315">
        <f t="shared" si="144"/>
        <v>22.8</v>
      </c>
      <c r="AC135" s="316">
        <v>535.0</v>
      </c>
      <c r="AD135" s="316">
        <v>535.0</v>
      </c>
      <c r="AE135" s="313">
        <f t="shared" si="145"/>
        <v>1070</v>
      </c>
      <c r="AF135" s="316">
        <v>510.075</v>
      </c>
      <c r="AG135" s="316">
        <f t="shared" si="146"/>
        <v>512.0375</v>
      </c>
      <c r="AH135" s="313">
        <f t="shared" si="147"/>
        <v>1.9625</v>
      </c>
      <c r="AI135" s="313">
        <f t="shared" si="148"/>
        <v>0.04787715</v>
      </c>
      <c r="AJ135" s="316">
        <v>7820.0</v>
      </c>
      <c r="AK135" s="313">
        <f t="shared" si="149"/>
        <v>374.399313</v>
      </c>
      <c r="AL135" s="317"/>
      <c r="AM135" s="158"/>
      <c r="AN135" s="158"/>
      <c r="AO135" s="158"/>
    </row>
    <row r="136">
      <c r="B136" s="312" t="s">
        <v>513</v>
      </c>
      <c r="C136" s="313"/>
      <c r="D136" s="314">
        <v>4.0</v>
      </c>
      <c r="E136" s="314">
        <v>570.2</v>
      </c>
      <c r="F136" s="314">
        <v>570.2</v>
      </c>
      <c r="G136" s="315">
        <f t="shared" si="138"/>
        <v>1140.4</v>
      </c>
      <c r="H136" s="316">
        <v>-68.6</v>
      </c>
      <c r="I136" s="316">
        <v>-91.4</v>
      </c>
      <c r="J136" s="313">
        <f t="shared" si="139"/>
        <v>22.8</v>
      </c>
      <c r="K136" s="316">
        <v>510.075</v>
      </c>
      <c r="L136" s="316">
        <f t="shared" si="140"/>
        <v>512.0375</v>
      </c>
      <c r="M136" s="313">
        <f t="shared" si="141"/>
        <v>1.9625</v>
      </c>
      <c r="N136" s="313">
        <f t="shared" si="142"/>
        <v>0.051027198</v>
      </c>
      <c r="O136" s="316">
        <v>7820.0</v>
      </c>
      <c r="P136" s="313">
        <f t="shared" si="143"/>
        <v>399.0326884</v>
      </c>
      <c r="Q136" s="317"/>
      <c r="S136" s="319" t="s">
        <v>439</v>
      </c>
      <c r="T136" s="319" t="s">
        <v>433</v>
      </c>
      <c r="W136" s="312" t="s">
        <v>514</v>
      </c>
      <c r="X136" s="313"/>
      <c r="Y136" s="314">
        <v>4.0</v>
      </c>
      <c r="Z136" s="314">
        <v>68.6</v>
      </c>
      <c r="AA136" s="314">
        <v>91.4</v>
      </c>
      <c r="AB136" s="315">
        <f t="shared" si="144"/>
        <v>22.8</v>
      </c>
      <c r="AC136" s="316">
        <v>535.0</v>
      </c>
      <c r="AD136" s="316">
        <v>535.0</v>
      </c>
      <c r="AE136" s="313">
        <f t="shared" si="145"/>
        <v>1070</v>
      </c>
      <c r="AF136" s="316">
        <v>510.075</v>
      </c>
      <c r="AG136" s="316">
        <f t="shared" si="146"/>
        <v>512.0375</v>
      </c>
      <c r="AH136" s="313">
        <f t="shared" si="147"/>
        <v>1.9625</v>
      </c>
      <c r="AI136" s="313">
        <f t="shared" si="148"/>
        <v>0.04787715</v>
      </c>
      <c r="AJ136" s="316">
        <v>7820.0</v>
      </c>
      <c r="AK136" s="313">
        <f t="shared" si="149"/>
        <v>374.399313</v>
      </c>
      <c r="AL136" s="317"/>
      <c r="AM136" s="158"/>
      <c r="AN136" s="158"/>
      <c r="AO136" s="158"/>
    </row>
    <row r="137">
      <c r="B137" s="312" t="s">
        <v>515</v>
      </c>
      <c r="C137" s="313"/>
      <c r="D137" s="314">
        <v>5.0</v>
      </c>
      <c r="E137" s="314">
        <v>570.2</v>
      </c>
      <c r="F137" s="314">
        <v>570.2</v>
      </c>
      <c r="G137" s="315">
        <f t="shared" si="138"/>
        <v>1140.4</v>
      </c>
      <c r="H137" s="316">
        <v>-228.6</v>
      </c>
      <c r="I137" s="316">
        <v>-251.4</v>
      </c>
      <c r="J137" s="313">
        <f t="shared" si="139"/>
        <v>22.8</v>
      </c>
      <c r="K137" s="316">
        <v>510.075</v>
      </c>
      <c r="L137" s="316">
        <f t="shared" si="140"/>
        <v>512.0375</v>
      </c>
      <c r="M137" s="313">
        <f t="shared" si="141"/>
        <v>1.9625</v>
      </c>
      <c r="N137" s="313">
        <f t="shared" si="142"/>
        <v>0.051027198</v>
      </c>
      <c r="O137" s="316">
        <v>7820.0</v>
      </c>
      <c r="P137" s="313">
        <f t="shared" si="143"/>
        <v>399.0326884</v>
      </c>
      <c r="Q137" s="317"/>
      <c r="S137" s="319" t="s">
        <v>441</v>
      </c>
      <c r="T137" s="319" t="s">
        <v>433</v>
      </c>
      <c r="W137" s="312" t="s">
        <v>516</v>
      </c>
      <c r="X137" s="313"/>
      <c r="Y137" s="314">
        <v>5.0</v>
      </c>
      <c r="Z137" s="314">
        <v>228.6</v>
      </c>
      <c r="AA137" s="314">
        <v>251.4</v>
      </c>
      <c r="AB137" s="315">
        <f t="shared" si="144"/>
        <v>22.8</v>
      </c>
      <c r="AC137" s="316">
        <v>535.0</v>
      </c>
      <c r="AD137" s="316">
        <v>535.0</v>
      </c>
      <c r="AE137" s="313">
        <f t="shared" si="145"/>
        <v>1070</v>
      </c>
      <c r="AF137" s="316">
        <v>510.075</v>
      </c>
      <c r="AG137" s="316">
        <f t="shared" si="146"/>
        <v>512.0375</v>
      </c>
      <c r="AH137" s="313">
        <f t="shared" si="147"/>
        <v>1.9625</v>
      </c>
      <c r="AI137" s="313">
        <f t="shared" si="148"/>
        <v>0.04787715</v>
      </c>
      <c r="AJ137" s="316">
        <v>7820.0</v>
      </c>
      <c r="AK137" s="313">
        <f t="shared" si="149"/>
        <v>374.399313</v>
      </c>
      <c r="AL137" s="317"/>
      <c r="AM137" s="158"/>
      <c r="AN137" s="158"/>
      <c r="AO137" s="158"/>
    </row>
    <row r="138">
      <c r="B138" s="312" t="s">
        <v>517</v>
      </c>
      <c r="C138" s="313"/>
      <c r="D138" s="314">
        <v>6.0</v>
      </c>
      <c r="E138" s="314">
        <v>570.2</v>
      </c>
      <c r="F138" s="314">
        <v>570.2</v>
      </c>
      <c r="G138" s="315">
        <f t="shared" si="138"/>
        <v>1140.4</v>
      </c>
      <c r="H138" s="316">
        <v>-388.6</v>
      </c>
      <c r="I138" s="316">
        <v>-411.4</v>
      </c>
      <c r="J138" s="313">
        <f t="shared" si="139"/>
        <v>22.8</v>
      </c>
      <c r="K138" s="316">
        <v>510.075</v>
      </c>
      <c r="L138" s="316">
        <f t="shared" si="140"/>
        <v>512.0375</v>
      </c>
      <c r="M138" s="313">
        <f t="shared" si="141"/>
        <v>1.9625</v>
      </c>
      <c r="N138" s="313">
        <f t="shared" si="142"/>
        <v>0.051027198</v>
      </c>
      <c r="O138" s="316">
        <v>7820.0</v>
      </c>
      <c r="P138" s="313">
        <f t="shared" si="143"/>
        <v>399.0326884</v>
      </c>
      <c r="Q138" s="317"/>
      <c r="S138" s="319" t="s">
        <v>443</v>
      </c>
      <c r="T138" s="319" t="s">
        <v>433</v>
      </c>
      <c r="W138" s="312" t="s">
        <v>518</v>
      </c>
      <c r="X138" s="313"/>
      <c r="Y138" s="314">
        <v>6.0</v>
      </c>
      <c r="Z138" s="314">
        <v>388.6</v>
      </c>
      <c r="AA138" s="314">
        <v>411.4</v>
      </c>
      <c r="AB138" s="315">
        <f t="shared" si="144"/>
        <v>22.8</v>
      </c>
      <c r="AC138" s="316">
        <v>535.0</v>
      </c>
      <c r="AD138" s="316">
        <v>535.0</v>
      </c>
      <c r="AE138" s="313">
        <f t="shared" si="145"/>
        <v>1070</v>
      </c>
      <c r="AF138" s="316">
        <v>510.075</v>
      </c>
      <c r="AG138" s="316">
        <f t="shared" si="146"/>
        <v>512.0375</v>
      </c>
      <c r="AH138" s="313">
        <f t="shared" si="147"/>
        <v>1.9625</v>
      </c>
      <c r="AI138" s="313">
        <f t="shared" si="148"/>
        <v>0.04787715</v>
      </c>
      <c r="AJ138" s="316">
        <v>7820.0</v>
      </c>
      <c r="AK138" s="313">
        <f t="shared" si="149"/>
        <v>374.399313</v>
      </c>
      <c r="AL138" s="317"/>
      <c r="AM138" s="158"/>
      <c r="AN138" s="158"/>
      <c r="AO138" s="158"/>
    </row>
    <row r="139">
      <c r="B139" s="320"/>
      <c r="C139" s="313"/>
      <c r="D139" s="316" t="s">
        <v>294</v>
      </c>
      <c r="E139" s="313"/>
      <c r="F139" s="313"/>
      <c r="G139" s="313"/>
      <c r="H139" s="313"/>
      <c r="I139" s="313"/>
      <c r="J139" s="313"/>
      <c r="K139" s="313"/>
      <c r="L139" s="313"/>
      <c r="M139" s="313"/>
      <c r="N139" s="313">
        <f>SUM(N133:N138)</f>
        <v>0.306163188</v>
      </c>
      <c r="O139" s="313"/>
      <c r="P139" s="313">
        <f>SUM(P133:P138)</f>
        <v>2394.19613</v>
      </c>
      <c r="Q139" s="317"/>
      <c r="S139" s="321"/>
      <c r="T139" s="321"/>
      <c r="U139" s="321"/>
      <c r="V139" s="321"/>
      <c r="W139" s="320"/>
      <c r="X139" s="313"/>
      <c r="Y139" s="316" t="s">
        <v>294</v>
      </c>
      <c r="Z139" s="313"/>
      <c r="AA139" s="313"/>
      <c r="AB139" s="313"/>
      <c r="AC139" s="313"/>
      <c r="AD139" s="313"/>
      <c r="AE139" s="313"/>
      <c r="AF139" s="313"/>
      <c r="AG139" s="313"/>
      <c r="AH139" s="313"/>
      <c r="AI139" s="313">
        <f>SUM(AI133:AI138)</f>
        <v>0.2872629</v>
      </c>
      <c r="AJ139" s="313"/>
      <c r="AK139" s="313">
        <f>SUM(AK133:AK138)</f>
        <v>2246.395878</v>
      </c>
      <c r="AL139" s="317"/>
      <c r="AM139" s="158">
        <f>AI139+N139</f>
        <v>0.593426088</v>
      </c>
      <c r="AN139" s="158"/>
      <c r="AO139" s="158"/>
    </row>
    <row r="140">
      <c r="B140" s="320"/>
      <c r="C140" s="313"/>
      <c r="D140" s="313"/>
      <c r="E140" s="313"/>
      <c r="F140" s="313"/>
      <c r="G140" s="313"/>
      <c r="H140" s="313"/>
      <c r="I140" s="313"/>
      <c r="J140" s="313"/>
      <c r="K140" s="313"/>
      <c r="L140" s="313"/>
      <c r="M140" s="313"/>
      <c r="N140" s="313"/>
      <c r="O140" s="313"/>
      <c r="P140" s="313">
        <f>P139/1000</f>
        <v>2.39419613</v>
      </c>
      <c r="Q140" s="322" t="s">
        <v>356</v>
      </c>
      <c r="R140" s="147">
        <f>P140*12*2</f>
        <v>57.46070712</v>
      </c>
      <c r="S140" s="321"/>
      <c r="T140" s="321"/>
      <c r="U140" s="321"/>
      <c r="V140" s="321"/>
      <c r="W140" s="320"/>
      <c r="X140" s="313"/>
      <c r="Y140" s="313"/>
      <c r="Z140" s="313"/>
      <c r="AA140" s="313"/>
      <c r="AB140" s="313"/>
      <c r="AC140" s="313"/>
      <c r="AD140" s="313"/>
      <c r="AE140" s="313"/>
      <c r="AF140" s="313"/>
      <c r="AG140" s="313"/>
      <c r="AH140" s="313"/>
      <c r="AI140" s="313"/>
      <c r="AJ140" s="313"/>
      <c r="AK140" s="313">
        <f>AK139/1000</f>
        <v>2.246395878</v>
      </c>
      <c r="AL140" s="322" t="s">
        <v>356</v>
      </c>
      <c r="AM140" s="307"/>
      <c r="AN140" s="307"/>
      <c r="AO140" s="307"/>
    </row>
    <row r="141">
      <c r="B141" s="320"/>
      <c r="C141" s="313"/>
      <c r="D141" s="313"/>
      <c r="E141" s="313"/>
      <c r="F141" s="313"/>
      <c r="G141" s="313"/>
      <c r="H141" s="313"/>
      <c r="I141" s="313"/>
      <c r="J141" s="313"/>
      <c r="K141" s="313"/>
      <c r="L141" s="313"/>
      <c r="M141" s="313"/>
      <c r="N141" s="313"/>
      <c r="O141" s="313"/>
      <c r="P141" s="313"/>
      <c r="Q141" s="322"/>
      <c r="R141" s="147">
        <f>N139*12*2</f>
        <v>7.347916512</v>
      </c>
      <c r="S141" s="321"/>
      <c r="T141" s="321"/>
      <c r="U141" s="321"/>
      <c r="V141" s="321"/>
      <c r="W141" s="320"/>
      <c r="X141" s="313"/>
      <c r="Y141" s="313"/>
      <c r="Z141" s="313"/>
      <c r="AA141" s="313"/>
      <c r="AB141" s="313"/>
      <c r="AC141" s="313"/>
      <c r="AD141" s="313"/>
      <c r="AE141" s="313"/>
      <c r="AF141" s="313"/>
      <c r="AG141" s="313"/>
      <c r="AH141" s="313"/>
      <c r="AI141" s="313"/>
      <c r="AJ141" s="313"/>
      <c r="AK141" s="313"/>
      <c r="AL141" s="322"/>
      <c r="AM141" s="307"/>
      <c r="AN141" s="307"/>
      <c r="AO141" s="307"/>
    </row>
    <row r="142">
      <c r="B142" s="323" t="s">
        <v>330</v>
      </c>
      <c r="C142" s="316" t="s">
        <v>357</v>
      </c>
      <c r="D142" s="362" t="s">
        <v>506</v>
      </c>
      <c r="E142" s="316" t="s">
        <v>333</v>
      </c>
      <c r="F142" s="316" t="s">
        <v>334</v>
      </c>
      <c r="G142" s="316" t="s">
        <v>335</v>
      </c>
      <c r="H142" s="316" t="s">
        <v>336</v>
      </c>
      <c r="I142" s="316" t="s">
        <v>337</v>
      </c>
      <c r="J142" s="316" t="s">
        <v>338</v>
      </c>
      <c r="K142" s="316" t="s">
        <v>339</v>
      </c>
      <c r="L142" s="316" t="s">
        <v>340</v>
      </c>
      <c r="M142" s="316" t="s">
        <v>341</v>
      </c>
      <c r="N142" s="316" t="s">
        <v>235</v>
      </c>
      <c r="O142" s="316" t="s">
        <v>342</v>
      </c>
      <c r="P142" s="316" t="s">
        <v>229</v>
      </c>
      <c r="Q142" s="317"/>
      <c r="S142" s="321"/>
      <c r="T142" s="321"/>
      <c r="U142" s="321"/>
      <c r="V142" s="321"/>
      <c r="W142" s="323" t="s">
        <v>330</v>
      </c>
      <c r="X142" s="316" t="s">
        <v>357</v>
      </c>
      <c r="Y142" s="362" t="s">
        <v>506</v>
      </c>
      <c r="Z142" s="316" t="s">
        <v>333</v>
      </c>
      <c r="AA142" s="316" t="s">
        <v>334</v>
      </c>
      <c r="AB142" s="316" t="s">
        <v>335</v>
      </c>
      <c r="AC142" s="316" t="s">
        <v>336</v>
      </c>
      <c r="AD142" s="316" t="s">
        <v>337</v>
      </c>
      <c r="AE142" s="316" t="s">
        <v>338</v>
      </c>
      <c r="AF142" s="316" t="s">
        <v>339</v>
      </c>
      <c r="AG142" s="316" t="s">
        <v>340</v>
      </c>
      <c r="AH142" s="316" t="s">
        <v>341</v>
      </c>
      <c r="AI142" s="316" t="s">
        <v>235</v>
      </c>
      <c r="AJ142" s="316" t="s">
        <v>342</v>
      </c>
      <c r="AK142" s="316" t="s">
        <v>229</v>
      </c>
      <c r="AL142" s="317"/>
      <c r="AM142" s="158"/>
      <c r="AN142" s="158"/>
      <c r="AO142" s="158"/>
    </row>
    <row r="143">
      <c r="B143" s="312" t="s">
        <v>519</v>
      </c>
      <c r="C143" s="313"/>
      <c r="D143" s="316">
        <v>1.0</v>
      </c>
      <c r="E143" s="316">
        <f t="shared" ref="E143:E148" si="150">F143-1.9625</f>
        <v>-510.9875</v>
      </c>
      <c r="F143" s="316">
        <v>-509.025</v>
      </c>
      <c r="G143" s="315">
        <f t="shared" ref="G143:G148" si="151">F143-E143</f>
        <v>1.9625</v>
      </c>
      <c r="H143" s="316">
        <v>388.6</v>
      </c>
      <c r="I143" s="316">
        <v>411.4</v>
      </c>
      <c r="J143" s="313">
        <f t="shared" ref="J143:J148" si="152">I143-H143</f>
        <v>22.8</v>
      </c>
      <c r="K143" s="316">
        <v>508.4</v>
      </c>
      <c r="L143" s="316">
        <v>508.4</v>
      </c>
      <c r="M143" s="313">
        <f t="shared" ref="M143:M148" si="153">L143+K143</f>
        <v>1016.8</v>
      </c>
      <c r="N143" s="313">
        <f t="shared" ref="N143:N148" si="154">(G143*J143*M143)/1000000</f>
        <v>0.045496716</v>
      </c>
      <c r="O143" s="316">
        <v>7820.0</v>
      </c>
      <c r="P143" s="313">
        <f t="shared" ref="P143:P148" si="155">N143*O143</f>
        <v>355.7843191</v>
      </c>
      <c r="Q143" s="317"/>
      <c r="S143" s="319" t="s">
        <v>358</v>
      </c>
      <c r="T143" s="363" t="s">
        <v>446</v>
      </c>
      <c r="W143" s="312" t="s">
        <v>520</v>
      </c>
      <c r="X143" s="313"/>
      <c r="Y143" s="314">
        <v>1.0</v>
      </c>
      <c r="Z143" s="314">
        <v>-411.4</v>
      </c>
      <c r="AA143" s="314">
        <v>-388.6</v>
      </c>
      <c r="AB143" s="315">
        <f t="shared" ref="AB143:AB148" si="156">AA143-Z143</f>
        <v>22.8</v>
      </c>
      <c r="AC143" s="316">
        <v>535.0</v>
      </c>
      <c r="AD143" s="316">
        <v>535.0</v>
      </c>
      <c r="AE143" s="313">
        <f t="shared" ref="AE143:AE148" si="157">AD143+AC143</f>
        <v>1070</v>
      </c>
      <c r="AF143" s="316">
        <f t="shared" ref="AF143:AF148" si="158">AG143-1.9625</f>
        <v>-510.9875</v>
      </c>
      <c r="AG143" s="316">
        <v>-509.025</v>
      </c>
      <c r="AH143" s="315">
        <f t="shared" ref="AH143:AH148" si="159">AG143-AF143</f>
        <v>1.9625</v>
      </c>
      <c r="AI143" s="313">
        <f t="shared" ref="AI143:AI148" si="160">(AB143*AE143*AH143)/1000000</f>
        <v>0.04787715</v>
      </c>
      <c r="AJ143" s="316">
        <v>7820.0</v>
      </c>
      <c r="AK143" s="313">
        <f t="shared" ref="AK143:AK148" si="161">AI143*AJ143</f>
        <v>374.399313</v>
      </c>
      <c r="AL143" s="317"/>
      <c r="AM143" s="158"/>
      <c r="AN143" s="158"/>
      <c r="AO143" s="158"/>
    </row>
    <row r="144">
      <c r="B144" s="323" t="s">
        <v>521</v>
      </c>
      <c r="C144" s="313"/>
      <c r="D144" s="316">
        <v>2.0</v>
      </c>
      <c r="E144" s="316">
        <f t="shared" si="150"/>
        <v>-510.9875</v>
      </c>
      <c r="F144" s="316">
        <v>-509.025</v>
      </c>
      <c r="G144" s="315">
        <f t="shared" si="151"/>
        <v>1.9625</v>
      </c>
      <c r="H144" s="316">
        <v>228.6</v>
      </c>
      <c r="I144" s="316">
        <v>251.4</v>
      </c>
      <c r="J144" s="313">
        <f t="shared" si="152"/>
        <v>22.8</v>
      </c>
      <c r="K144" s="316">
        <v>508.4</v>
      </c>
      <c r="L144" s="316">
        <v>508.4</v>
      </c>
      <c r="M144" s="313">
        <f t="shared" si="153"/>
        <v>1016.8</v>
      </c>
      <c r="N144" s="313">
        <f t="shared" si="154"/>
        <v>0.045496716</v>
      </c>
      <c r="O144" s="316">
        <v>7820.0</v>
      </c>
      <c r="P144" s="313">
        <f t="shared" si="155"/>
        <v>355.7843191</v>
      </c>
      <c r="Q144" s="317"/>
      <c r="S144" s="319" t="s">
        <v>361</v>
      </c>
      <c r="T144" s="363" t="s">
        <v>446</v>
      </c>
      <c r="W144" s="312" t="s">
        <v>522</v>
      </c>
      <c r="X144" s="313"/>
      <c r="Y144" s="314">
        <v>2.0</v>
      </c>
      <c r="Z144" s="314">
        <v>-251.4</v>
      </c>
      <c r="AA144" s="314">
        <v>-228.6</v>
      </c>
      <c r="AB144" s="315">
        <f t="shared" si="156"/>
        <v>22.8</v>
      </c>
      <c r="AC144" s="316">
        <v>535.0</v>
      </c>
      <c r="AD144" s="316">
        <v>535.0</v>
      </c>
      <c r="AE144" s="313">
        <f t="shared" si="157"/>
        <v>1070</v>
      </c>
      <c r="AF144" s="316">
        <f t="shared" si="158"/>
        <v>-510.9875</v>
      </c>
      <c r="AG144" s="316">
        <v>-509.025</v>
      </c>
      <c r="AH144" s="315">
        <f t="shared" si="159"/>
        <v>1.9625</v>
      </c>
      <c r="AI144" s="313">
        <f t="shared" si="160"/>
        <v>0.04787715</v>
      </c>
      <c r="AJ144" s="316">
        <v>7820.0</v>
      </c>
      <c r="AK144" s="313">
        <f t="shared" si="161"/>
        <v>374.399313</v>
      </c>
      <c r="AL144" s="317"/>
      <c r="AM144" s="158"/>
      <c r="AN144" s="158"/>
      <c r="AO144" s="158"/>
    </row>
    <row r="145">
      <c r="B145" s="323" t="s">
        <v>523</v>
      </c>
      <c r="C145" s="313"/>
      <c r="D145" s="316">
        <v>3.0</v>
      </c>
      <c r="E145" s="316">
        <f t="shared" si="150"/>
        <v>-510.9875</v>
      </c>
      <c r="F145" s="316">
        <v>-509.025</v>
      </c>
      <c r="G145" s="315">
        <f t="shared" si="151"/>
        <v>1.9625</v>
      </c>
      <c r="H145" s="316">
        <v>68.6</v>
      </c>
      <c r="I145" s="316">
        <v>91.4</v>
      </c>
      <c r="J145" s="313">
        <f t="shared" si="152"/>
        <v>22.8</v>
      </c>
      <c r="K145" s="316">
        <v>508.4</v>
      </c>
      <c r="L145" s="316">
        <v>508.4</v>
      </c>
      <c r="M145" s="313">
        <f t="shared" si="153"/>
        <v>1016.8</v>
      </c>
      <c r="N145" s="313">
        <f t="shared" si="154"/>
        <v>0.045496716</v>
      </c>
      <c r="O145" s="316">
        <v>7820.0</v>
      </c>
      <c r="P145" s="313">
        <f t="shared" si="155"/>
        <v>355.7843191</v>
      </c>
      <c r="Q145" s="317"/>
      <c r="S145" s="319" t="s">
        <v>363</v>
      </c>
      <c r="T145" s="363" t="s">
        <v>446</v>
      </c>
      <c r="W145" s="312" t="s">
        <v>524</v>
      </c>
      <c r="X145" s="313"/>
      <c r="Y145" s="314">
        <v>3.0</v>
      </c>
      <c r="Z145" s="314">
        <v>-91.4</v>
      </c>
      <c r="AA145" s="314">
        <v>-68.6</v>
      </c>
      <c r="AB145" s="315">
        <f t="shared" si="156"/>
        <v>22.8</v>
      </c>
      <c r="AC145" s="316">
        <v>535.0</v>
      </c>
      <c r="AD145" s="316">
        <v>535.0</v>
      </c>
      <c r="AE145" s="313">
        <f t="shared" si="157"/>
        <v>1070</v>
      </c>
      <c r="AF145" s="316">
        <f t="shared" si="158"/>
        <v>-510.9875</v>
      </c>
      <c r="AG145" s="316">
        <v>-509.025</v>
      </c>
      <c r="AH145" s="315">
        <f t="shared" si="159"/>
        <v>1.9625</v>
      </c>
      <c r="AI145" s="313">
        <f t="shared" si="160"/>
        <v>0.04787715</v>
      </c>
      <c r="AJ145" s="316">
        <v>7820.0</v>
      </c>
      <c r="AK145" s="313">
        <f t="shared" si="161"/>
        <v>374.399313</v>
      </c>
      <c r="AL145" s="317"/>
      <c r="AM145" s="158"/>
      <c r="AN145" s="158"/>
      <c r="AO145" s="158"/>
    </row>
    <row r="146">
      <c r="B146" s="323" t="s">
        <v>525</v>
      </c>
      <c r="C146" s="313"/>
      <c r="D146" s="316">
        <v>4.0</v>
      </c>
      <c r="E146" s="316">
        <f t="shared" si="150"/>
        <v>-510.9875</v>
      </c>
      <c r="F146" s="316">
        <v>-509.025</v>
      </c>
      <c r="G146" s="315">
        <f t="shared" si="151"/>
        <v>1.9625</v>
      </c>
      <c r="H146" s="316">
        <v>-91.4</v>
      </c>
      <c r="I146" s="316">
        <v>-68.6</v>
      </c>
      <c r="J146" s="313">
        <f t="shared" si="152"/>
        <v>22.8</v>
      </c>
      <c r="K146" s="316">
        <v>508.4</v>
      </c>
      <c r="L146" s="316">
        <v>508.4</v>
      </c>
      <c r="M146" s="313">
        <f t="shared" si="153"/>
        <v>1016.8</v>
      </c>
      <c r="N146" s="313">
        <f t="shared" si="154"/>
        <v>0.045496716</v>
      </c>
      <c r="O146" s="316">
        <v>7820.0</v>
      </c>
      <c r="P146" s="313">
        <f t="shared" si="155"/>
        <v>355.7843191</v>
      </c>
      <c r="Q146" s="317"/>
      <c r="S146" s="319" t="s">
        <v>365</v>
      </c>
      <c r="T146" s="363" t="s">
        <v>446</v>
      </c>
      <c r="W146" s="312" t="s">
        <v>526</v>
      </c>
      <c r="X146" s="313"/>
      <c r="Y146" s="314">
        <v>4.0</v>
      </c>
      <c r="Z146" s="314">
        <v>68.6</v>
      </c>
      <c r="AA146" s="314">
        <v>91.4</v>
      </c>
      <c r="AB146" s="315">
        <f t="shared" si="156"/>
        <v>22.8</v>
      </c>
      <c r="AC146" s="316">
        <v>535.0</v>
      </c>
      <c r="AD146" s="316">
        <v>535.0</v>
      </c>
      <c r="AE146" s="313">
        <f t="shared" si="157"/>
        <v>1070</v>
      </c>
      <c r="AF146" s="316">
        <f t="shared" si="158"/>
        <v>-510.9875</v>
      </c>
      <c r="AG146" s="316">
        <v>-509.025</v>
      </c>
      <c r="AH146" s="315">
        <f t="shared" si="159"/>
        <v>1.9625</v>
      </c>
      <c r="AI146" s="313">
        <f t="shared" si="160"/>
        <v>0.04787715</v>
      </c>
      <c r="AJ146" s="316">
        <v>7820.0</v>
      </c>
      <c r="AK146" s="313">
        <f t="shared" si="161"/>
        <v>374.399313</v>
      </c>
      <c r="AL146" s="317"/>
      <c r="AM146" s="158"/>
      <c r="AN146" s="158"/>
      <c r="AO146" s="158"/>
    </row>
    <row r="147">
      <c r="B147" s="323" t="s">
        <v>527</v>
      </c>
      <c r="C147" s="313"/>
      <c r="D147" s="316">
        <v>5.0</v>
      </c>
      <c r="E147" s="316">
        <f t="shared" si="150"/>
        <v>-510.9875</v>
      </c>
      <c r="F147" s="316">
        <v>-509.025</v>
      </c>
      <c r="G147" s="315">
        <f t="shared" si="151"/>
        <v>1.9625</v>
      </c>
      <c r="H147" s="316">
        <v>-251.4</v>
      </c>
      <c r="I147" s="316">
        <v>-228.6</v>
      </c>
      <c r="J147" s="313">
        <f t="shared" si="152"/>
        <v>22.8</v>
      </c>
      <c r="K147" s="316">
        <v>508.4</v>
      </c>
      <c r="L147" s="316">
        <v>508.4</v>
      </c>
      <c r="M147" s="313">
        <f t="shared" si="153"/>
        <v>1016.8</v>
      </c>
      <c r="N147" s="313">
        <f t="shared" si="154"/>
        <v>0.045496716</v>
      </c>
      <c r="O147" s="316">
        <v>7820.0</v>
      </c>
      <c r="P147" s="313">
        <f t="shared" si="155"/>
        <v>355.7843191</v>
      </c>
      <c r="Q147" s="317"/>
      <c r="S147" s="319" t="s">
        <v>367</v>
      </c>
      <c r="T147" s="363" t="s">
        <v>446</v>
      </c>
      <c r="W147" s="312" t="s">
        <v>528</v>
      </c>
      <c r="X147" s="313"/>
      <c r="Y147" s="314">
        <v>5.0</v>
      </c>
      <c r="Z147" s="314">
        <v>228.6</v>
      </c>
      <c r="AA147" s="314">
        <v>251.4</v>
      </c>
      <c r="AB147" s="315">
        <f t="shared" si="156"/>
        <v>22.8</v>
      </c>
      <c r="AC147" s="316">
        <v>535.0</v>
      </c>
      <c r="AD147" s="316">
        <v>535.0</v>
      </c>
      <c r="AE147" s="313">
        <f t="shared" si="157"/>
        <v>1070</v>
      </c>
      <c r="AF147" s="316">
        <f t="shared" si="158"/>
        <v>-510.9875</v>
      </c>
      <c r="AG147" s="316">
        <v>-509.025</v>
      </c>
      <c r="AH147" s="315">
        <f t="shared" si="159"/>
        <v>1.9625</v>
      </c>
      <c r="AI147" s="313">
        <f t="shared" si="160"/>
        <v>0.04787715</v>
      </c>
      <c r="AJ147" s="316">
        <v>7820.0</v>
      </c>
      <c r="AK147" s="313">
        <f t="shared" si="161"/>
        <v>374.399313</v>
      </c>
      <c r="AL147" s="317"/>
      <c r="AM147" s="158"/>
      <c r="AN147" s="158"/>
      <c r="AO147" s="158"/>
    </row>
    <row r="148">
      <c r="B148" s="323" t="s">
        <v>529</v>
      </c>
      <c r="C148" s="313"/>
      <c r="D148" s="316">
        <v>6.0</v>
      </c>
      <c r="E148" s="316">
        <f t="shared" si="150"/>
        <v>-510.9875</v>
      </c>
      <c r="F148" s="316">
        <v>-509.025</v>
      </c>
      <c r="G148" s="315">
        <f t="shared" si="151"/>
        <v>1.9625</v>
      </c>
      <c r="H148" s="316">
        <v>-411.4</v>
      </c>
      <c r="I148" s="316">
        <v>-388.6</v>
      </c>
      <c r="J148" s="313">
        <f t="shared" si="152"/>
        <v>22.8</v>
      </c>
      <c r="K148" s="316">
        <v>508.4</v>
      </c>
      <c r="L148" s="316">
        <v>508.4</v>
      </c>
      <c r="M148" s="313">
        <f t="shared" si="153"/>
        <v>1016.8</v>
      </c>
      <c r="N148" s="313">
        <f t="shared" si="154"/>
        <v>0.045496716</v>
      </c>
      <c r="O148" s="316">
        <v>7820.0</v>
      </c>
      <c r="P148" s="313">
        <f t="shared" si="155"/>
        <v>355.7843191</v>
      </c>
      <c r="Q148" s="317"/>
      <c r="S148" s="319" t="s">
        <v>369</v>
      </c>
      <c r="T148" s="363" t="s">
        <v>446</v>
      </c>
      <c r="U148" s="319"/>
      <c r="V148" s="319"/>
      <c r="W148" s="312" t="s">
        <v>530</v>
      </c>
      <c r="X148" s="313"/>
      <c r="Y148" s="314">
        <v>6.0</v>
      </c>
      <c r="Z148" s="314">
        <v>388.6</v>
      </c>
      <c r="AA148" s="314">
        <v>411.4</v>
      </c>
      <c r="AB148" s="315">
        <f t="shared" si="156"/>
        <v>22.8</v>
      </c>
      <c r="AC148" s="316">
        <v>535.0</v>
      </c>
      <c r="AD148" s="316">
        <v>535.0</v>
      </c>
      <c r="AE148" s="313">
        <f t="shared" si="157"/>
        <v>1070</v>
      </c>
      <c r="AF148" s="316">
        <f t="shared" si="158"/>
        <v>-510.9875</v>
      </c>
      <c r="AG148" s="316">
        <v>-509.025</v>
      </c>
      <c r="AH148" s="315">
        <f t="shared" si="159"/>
        <v>1.9625</v>
      </c>
      <c r="AI148" s="313">
        <f t="shared" si="160"/>
        <v>0.04787715</v>
      </c>
      <c r="AJ148" s="316">
        <v>7820.0</v>
      </c>
      <c r="AK148" s="313">
        <f t="shared" si="161"/>
        <v>374.399313</v>
      </c>
      <c r="AL148" s="317"/>
      <c r="AM148" s="158"/>
      <c r="AN148" s="158"/>
      <c r="AO148" s="158"/>
    </row>
    <row r="149">
      <c r="B149" s="320"/>
      <c r="C149" s="313"/>
      <c r="D149" s="316" t="s">
        <v>294</v>
      </c>
      <c r="E149" s="313"/>
      <c r="F149" s="313"/>
      <c r="G149" s="313"/>
      <c r="H149" s="313"/>
      <c r="I149" s="313"/>
      <c r="J149" s="313"/>
      <c r="K149" s="313"/>
      <c r="L149" s="313"/>
      <c r="M149" s="313"/>
      <c r="N149" s="313">
        <f>SUM(N143:N148)</f>
        <v>0.272980296</v>
      </c>
      <c r="O149" s="313"/>
      <c r="P149" s="313">
        <f>SUM(P143:P148)</f>
        <v>2134.705915</v>
      </c>
      <c r="Q149" s="317"/>
      <c r="S149" s="321"/>
      <c r="T149" s="321"/>
      <c r="U149" s="321"/>
      <c r="V149" s="321"/>
      <c r="W149" s="320"/>
      <c r="X149" s="313"/>
      <c r="Y149" s="316" t="s">
        <v>294</v>
      </c>
      <c r="Z149" s="313"/>
      <c r="AA149" s="313"/>
      <c r="AB149" s="313"/>
      <c r="AC149" s="313"/>
      <c r="AD149" s="313"/>
      <c r="AE149" s="313"/>
      <c r="AF149" s="313"/>
      <c r="AG149" s="313"/>
      <c r="AH149" s="313"/>
      <c r="AI149" s="313">
        <f>SUM(AI143:AI148)</f>
        <v>0.2872629</v>
      </c>
      <c r="AJ149" s="313"/>
      <c r="AK149" s="313">
        <f>SUM(AK143:AK148)</f>
        <v>2246.395878</v>
      </c>
      <c r="AL149" s="317"/>
      <c r="AM149" s="158">
        <f>N149+AI149</f>
        <v>0.560243196</v>
      </c>
      <c r="AN149" s="158"/>
      <c r="AO149" s="158"/>
    </row>
    <row r="150">
      <c r="B150" s="324"/>
      <c r="C150" s="325"/>
      <c r="D150" s="325"/>
      <c r="E150" s="325"/>
      <c r="F150" s="325"/>
      <c r="G150" s="325"/>
      <c r="H150" s="325"/>
      <c r="I150" s="325"/>
      <c r="J150" s="325"/>
      <c r="K150" s="325"/>
      <c r="L150" s="325"/>
      <c r="M150" s="325"/>
      <c r="N150" s="325"/>
      <c r="O150" s="325"/>
      <c r="P150" s="325">
        <f>P149/1000</f>
        <v>2.134705915</v>
      </c>
      <c r="Q150" s="326" t="s">
        <v>371</v>
      </c>
      <c r="S150" s="321"/>
      <c r="T150" s="321"/>
      <c r="U150" s="321"/>
      <c r="V150" s="321"/>
      <c r="W150" s="324"/>
      <c r="X150" s="325"/>
      <c r="Y150" s="325"/>
      <c r="Z150" s="325"/>
      <c r="AA150" s="325"/>
      <c r="AB150" s="325"/>
      <c r="AC150" s="325"/>
      <c r="AD150" s="325"/>
      <c r="AE150" s="325"/>
      <c r="AF150" s="325"/>
      <c r="AG150" s="325"/>
      <c r="AH150" s="325"/>
      <c r="AI150" s="325"/>
      <c r="AJ150" s="325"/>
      <c r="AK150" s="325">
        <f>AK149/1000</f>
        <v>2.246395878</v>
      </c>
      <c r="AL150" s="326" t="s">
        <v>371</v>
      </c>
      <c r="AM150" s="307"/>
      <c r="AN150" s="307"/>
      <c r="AO150" s="307"/>
    </row>
    <row r="151">
      <c r="Q151" s="44"/>
      <c r="S151" s="321"/>
      <c r="T151" s="321"/>
      <c r="U151" s="321"/>
      <c r="V151" s="321"/>
      <c r="AM151" s="158"/>
      <c r="AN151" s="158"/>
      <c r="AO151" s="158"/>
    </row>
    <row r="152">
      <c r="B152" s="327" t="s">
        <v>330</v>
      </c>
      <c r="C152" s="328" t="s">
        <v>372</v>
      </c>
      <c r="D152" s="362" t="s">
        <v>506</v>
      </c>
      <c r="E152" s="328" t="s">
        <v>333</v>
      </c>
      <c r="F152" s="328" t="s">
        <v>334</v>
      </c>
      <c r="G152" s="328" t="s">
        <v>335</v>
      </c>
      <c r="H152" s="328" t="s">
        <v>336</v>
      </c>
      <c r="I152" s="328" t="s">
        <v>337</v>
      </c>
      <c r="J152" s="328" t="s">
        <v>338</v>
      </c>
      <c r="K152" s="328" t="s">
        <v>339</v>
      </c>
      <c r="L152" s="328" t="s">
        <v>340</v>
      </c>
      <c r="M152" s="328" t="s">
        <v>341</v>
      </c>
      <c r="N152" s="328" t="s">
        <v>235</v>
      </c>
      <c r="O152" s="328" t="s">
        <v>342</v>
      </c>
      <c r="P152" s="328" t="s">
        <v>229</v>
      </c>
      <c r="Q152" s="329"/>
      <c r="S152" s="321"/>
      <c r="T152" s="321"/>
      <c r="U152" s="321"/>
      <c r="V152" s="321"/>
      <c r="W152" s="327" t="s">
        <v>330</v>
      </c>
      <c r="X152" s="328" t="s">
        <v>372</v>
      </c>
      <c r="Y152" s="364" t="s">
        <v>506</v>
      </c>
      <c r="Z152" s="328" t="s">
        <v>333</v>
      </c>
      <c r="AA152" s="328" t="s">
        <v>334</v>
      </c>
      <c r="AB152" s="328" t="s">
        <v>335</v>
      </c>
      <c r="AC152" s="328" t="s">
        <v>336</v>
      </c>
      <c r="AD152" s="328" t="s">
        <v>337</v>
      </c>
      <c r="AE152" s="328" t="s">
        <v>338</v>
      </c>
      <c r="AF152" s="328" t="s">
        <v>339</v>
      </c>
      <c r="AG152" s="328" t="s">
        <v>340</v>
      </c>
      <c r="AH152" s="328" t="s">
        <v>341</v>
      </c>
      <c r="AI152" s="328" t="s">
        <v>235</v>
      </c>
      <c r="AJ152" s="328" t="s">
        <v>342</v>
      </c>
      <c r="AK152" s="328" t="s">
        <v>229</v>
      </c>
      <c r="AL152" s="329"/>
      <c r="AM152" s="158"/>
      <c r="AN152" s="158"/>
      <c r="AO152" s="158"/>
    </row>
    <row r="153">
      <c r="B153" s="330" t="s">
        <v>588</v>
      </c>
      <c r="C153" s="331"/>
      <c r="D153" s="332">
        <v>1.0</v>
      </c>
      <c r="E153" s="333">
        <v>570.2</v>
      </c>
      <c r="F153" s="333">
        <v>570.2</v>
      </c>
      <c r="G153" s="334">
        <v>1140.4</v>
      </c>
      <c r="H153" s="332">
        <f t="shared" ref="H153:H158" si="162">535+0.8375</f>
        <v>535.8375</v>
      </c>
      <c r="I153" s="332">
        <f t="shared" ref="I153:I158" si="163">H153+1.9625</f>
        <v>537.8</v>
      </c>
      <c r="J153" s="331">
        <f t="shared" ref="J153:J158" si="164">I153-H153</f>
        <v>1.9625</v>
      </c>
      <c r="K153" s="332">
        <v>-411.4</v>
      </c>
      <c r="L153" s="332">
        <v>-388.6</v>
      </c>
      <c r="M153" s="331">
        <f t="shared" ref="M153:M158" si="165">L153-K153</f>
        <v>22.8</v>
      </c>
      <c r="N153" s="331">
        <f t="shared" ref="N153:N158" si="166">(G153*J153*M153)/1000000</f>
        <v>0.051027198</v>
      </c>
      <c r="O153" s="332">
        <v>7820.0</v>
      </c>
      <c r="P153" s="331">
        <f t="shared" ref="P153:P158" si="167">N153*O153</f>
        <v>399.0326884</v>
      </c>
      <c r="Q153" s="335"/>
      <c r="S153" s="319" t="s">
        <v>374</v>
      </c>
      <c r="T153" s="319" t="s">
        <v>375</v>
      </c>
      <c r="W153" s="330" t="s">
        <v>532</v>
      </c>
      <c r="X153" s="331"/>
      <c r="Y153" s="332">
        <v>1.0</v>
      </c>
      <c r="Z153" s="333">
        <v>388.6</v>
      </c>
      <c r="AA153" s="333">
        <v>411.4</v>
      </c>
      <c r="AB153" s="334">
        <f t="shared" ref="AB153:AB158" si="168">AA153-Z153</f>
        <v>22.8</v>
      </c>
      <c r="AC153" s="332">
        <f t="shared" ref="AC153:AC158" si="169">535+0.8375</f>
        <v>535.8375</v>
      </c>
      <c r="AD153" s="332">
        <v>537.8</v>
      </c>
      <c r="AE153" s="331">
        <f t="shared" ref="AE153:AE158" si="170">AD153-AC153</f>
        <v>1.9625</v>
      </c>
      <c r="AF153" s="333">
        <v>570.2</v>
      </c>
      <c r="AG153" s="333">
        <v>570.2</v>
      </c>
      <c r="AH153" s="334">
        <v>1140.4</v>
      </c>
      <c r="AI153" s="331">
        <f t="shared" ref="AI153:AI158" si="171">(AB153*AE153*AH153)/1000000</f>
        <v>0.051027198</v>
      </c>
      <c r="AJ153" s="332">
        <v>7820.0</v>
      </c>
      <c r="AK153" s="331">
        <f t="shared" ref="AK153:AK158" si="172">AI153*AJ153</f>
        <v>399.0326884</v>
      </c>
      <c r="AL153" s="335"/>
      <c r="AM153" s="158"/>
      <c r="AN153" s="158"/>
      <c r="AO153" s="158"/>
    </row>
    <row r="154">
      <c r="B154" s="330" t="s">
        <v>589</v>
      </c>
      <c r="C154" s="331"/>
      <c r="D154" s="332">
        <v>2.0</v>
      </c>
      <c r="E154" s="333">
        <v>570.2</v>
      </c>
      <c r="F154" s="333">
        <v>570.2</v>
      </c>
      <c r="G154" s="334">
        <v>1140.4</v>
      </c>
      <c r="H154" s="332">
        <f t="shared" si="162"/>
        <v>535.8375</v>
      </c>
      <c r="I154" s="332">
        <f t="shared" si="163"/>
        <v>537.8</v>
      </c>
      <c r="J154" s="331">
        <f t="shared" si="164"/>
        <v>1.9625</v>
      </c>
      <c r="K154" s="332">
        <v>-251.4</v>
      </c>
      <c r="L154" s="332">
        <v>-228.6</v>
      </c>
      <c r="M154" s="331">
        <f t="shared" si="165"/>
        <v>22.8</v>
      </c>
      <c r="N154" s="331">
        <f t="shared" si="166"/>
        <v>0.051027198</v>
      </c>
      <c r="O154" s="332">
        <v>7820.0</v>
      </c>
      <c r="P154" s="331">
        <f t="shared" si="167"/>
        <v>399.0326884</v>
      </c>
      <c r="Q154" s="335"/>
      <c r="S154" s="319" t="s">
        <v>377</v>
      </c>
      <c r="T154" s="319" t="s">
        <v>375</v>
      </c>
      <c r="W154" s="330" t="s">
        <v>534</v>
      </c>
      <c r="X154" s="331"/>
      <c r="Y154" s="332">
        <v>2.0</v>
      </c>
      <c r="Z154" s="333">
        <v>228.6</v>
      </c>
      <c r="AA154" s="333">
        <v>251.4</v>
      </c>
      <c r="AB154" s="334">
        <f t="shared" si="168"/>
        <v>22.8</v>
      </c>
      <c r="AC154" s="332">
        <f t="shared" si="169"/>
        <v>535.8375</v>
      </c>
      <c r="AD154" s="332">
        <v>537.8</v>
      </c>
      <c r="AE154" s="331">
        <f t="shared" si="170"/>
        <v>1.9625</v>
      </c>
      <c r="AF154" s="333">
        <v>570.2</v>
      </c>
      <c r="AG154" s="333">
        <v>570.2</v>
      </c>
      <c r="AH154" s="334">
        <v>1140.4</v>
      </c>
      <c r="AI154" s="331">
        <f t="shared" si="171"/>
        <v>0.051027198</v>
      </c>
      <c r="AJ154" s="332">
        <v>7820.0</v>
      </c>
      <c r="AK154" s="331">
        <f t="shared" si="172"/>
        <v>399.0326884</v>
      </c>
      <c r="AL154" s="335"/>
      <c r="AM154" s="158"/>
      <c r="AN154" s="158"/>
      <c r="AO154" s="158"/>
    </row>
    <row r="155">
      <c r="B155" s="330" t="s">
        <v>590</v>
      </c>
      <c r="C155" s="331"/>
      <c r="D155" s="332">
        <v>3.0</v>
      </c>
      <c r="E155" s="333">
        <v>570.2</v>
      </c>
      <c r="F155" s="333">
        <v>570.2</v>
      </c>
      <c r="G155" s="334">
        <v>1140.4</v>
      </c>
      <c r="H155" s="332">
        <f t="shared" si="162"/>
        <v>535.8375</v>
      </c>
      <c r="I155" s="332">
        <f t="shared" si="163"/>
        <v>537.8</v>
      </c>
      <c r="J155" s="331">
        <f t="shared" si="164"/>
        <v>1.9625</v>
      </c>
      <c r="K155" s="332">
        <v>-91.4</v>
      </c>
      <c r="L155" s="332">
        <v>-68.6</v>
      </c>
      <c r="M155" s="331">
        <f t="shared" si="165"/>
        <v>22.8</v>
      </c>
      <c r="N155" s="331">
        <f t="shared" si="166"/>
        <v>0.051027198</v>
      </c>
      <c r="O155" s="332">
        <v>7820.0</v>
      </c>
      <c r="P155" s="331">
        <f t="shared" si="167"/>
        <v>399.0326884</v>
      </c>
      <c r="Q155" s="335"/>
      <c r="S155" s="319" t="s">
        <v>379</v>
      </c>
      <c r="T155" s="319" t="s">
        <v>375</v>
      </c>
      <c r="W155" s="330" t="s">
        <v>536</v>
      </c>
      <c r="X155" s="331"/>
      <c r="Y155" s="332">
        <v>3.0</v>
      </c>
      <c r="Z155" s="333">
        <v>68.6</v>
      </c>
      <c r="AA155" s="333">
        <v>91.4</v>
      </c>
      <c r="AB155" s="334">
        <f t="shared" si="168"/>
        <v>22.8</v>
      </c>
      <c r="AC155" s="332">
        <f t="shared" si="169"/>
        <v>535.8375</v>
      </c>
      <c r="AD155" s="332">
        <v>537.8</v>
      </c>
      <c r="AE155" s="331">
        <f t="shared" si="170"/>
        <v>1.9625</v>
      </c>
      <c r="AF155" s="333">
        <v>570.2</v>
      </c>
      <c r="AG155" s="333">
        <v>570.2</v>
      </c>
      <c r="AH155" s="334">
        <v>1140.4</v>
      </c>
      <c r="AI155" s="331">
        <f t="shared" si="171"/>
        <v>0.051027198</v>
      </c>
      <c r="AJ155" s="332">
        <v>7820.0</v>
      </c>
      <c r="AK155" s="331">
        <f t="shared" si="172"/>
        <v>399.0326884</v>
      </c>
      <c r="AL155" s="335"/>
      <c r="AM155" s="158"/>
      <c r="AN155" s="158"/>
      <c r="AO155" s="158"/>
    </row>
    <row r="156">
      <c r="B156" s="330" t="s">
        <v>591</v>
      </c>
      <c r="C156" s="331"/>
      <c r="D156" s="332">
        <v>4.0</v>
      </c>
      <c r="E156" s="333">
        <v>570.2</v>
      </c>
      <c r="F156" s="333">
        <v>570.2</v>
      </c>
      <c r="G156" s="334">
        <v>1140.4</v>
      </c>
      <c r="H156" s="332">
        <f t="shared" si="162"/>
        <v>535.8375</v>
      </c>
      <c r="I156" s="332">
        <f t="shared" si="163"/>
        <v>537.8</v>
      </c>
      <c r="J156" s="331">
        <f t="shared" si="164"/>
        <v>1.9625</v>
      </c>
      <c r="K156" s="332">
        <v>68.6</v>
      </c>
      <c r="L156" s="332">
        <v>91.4</v>
      </c>
      <c r="M156" s="331">
        <f t="shared" si="165"/>
        <v>22.8</v>
      </c>
      <c r="N156" s="331">
        <f t="shared" si="166"/>
        <v>0.051027198</v>
      </c>
      <c r="O156" s="332">
        <v>7820.0</v>
      </c>
      <c r="P156" s="331">
        <f t="shared" si="167"/>
        <v>399.0326884</v>
      </c>
      <c r="Q156" s="335"/>
      <c r="S156" s="319" t="s">
        <v>381</v>
      </c>
      <c r="T156" s="319" t="s">
        <v>375</v>
      </c>
      <c r="W156" s="330" t="s">
        <v>538</v>
      </c>
      <c r="X156" s="331"/>
      <c r="Y156" s="332">
        <v>4.0</v>
      </c>
      <c r="Z156" s="333">
        <v>-91.4</v>
      </c>
      <c r="AA156" s="333">
        <v>-68.6</v>
      </c>
      <c r="AB156" s="334">
        <f t="shared" si="168"/>
        <v>22.8</v>
      </c>
      <c r="AC156" s="332">
        <f t="shared" si="169"/>
        <v>535.8375</v>
      </c>
      <c r="AD156" s="332">
        <v>537.8</v>
      </c>
      <c r="AE156" s="331">
        <f t="shared" si="170"/>
        <v>1.9625</v>
      </c>
      <c r="AF156" s="333">
        <v>570.2</v>
      </c>
      <c r="AG156" s="333">
        <v>570.2</v>
      </c>
      <c r="AH156" s="334">
        <v>1140.4</v>
      </c>
      <c r="AI156" s="331">
        <f t="shared" si="171"/>
        <v>0.051027198</v>
      </c>
      <c r="AJ156" s="332">
        <v>7820.0</v>
      </c>
      <c r="AK156" s="331">
        <f t="shared" si="172"/>
        <v>399.0326884</v>
      </c>
      <c r="AL156" s="335"/>
      <c r="AM156" s="158"/>
      <c r="AN156" s="158"/>
      <c r="AO156" s="158"/>
    </row>
    <row r="157">
      <c r="B157" s="330" t="s">
        <v>592</v>
      </c>
      <c r="C157" s="331"/>
      <c r="D157" s="332">
        <v>5.0</v>
      </c>
      <c r="E157" s="333">
        <v>570.2</v>
      </c>
      <c r="F157" s="333">
        <v>570.2</v>
      </c>
      <c r="G157" s="334">
        <v>1140.4</v>
      </c>
      <c r="H157" s="332">
        <f t="shared" si="162"/>
        <v>535.8375</v>
      </c>
      <c r="I157" s="332">
        <f t="shared" si="163"/>
        <v>537.8</v>
      </c>
      <c r="J157" s="331">
        <f t="shared" si="164"/>
        <v>1.9625</v>
      </c>
      <c r="K157" s="332">
        <v>228.6</v>
      </c>
      <c r="L157" s="332">
        <v>251.4</v>
      </c>
      <c r="M157" s="331">
        <f t="shared" si="165"/>
        <v>22.8</v>
      </c>
      <c r="N157" s="331">
        <f t="shared" si="166"/>
        <v>0.051027198</v>
      </c>
      <c r="O157" s="332">
        <v>7820.0</v>
      </c>
      <c r="P157" s="331">
        <f t="shared" si="167"/>
        <v>399.0326884</v>
      </c>
      <c r="Q157" s="335"/>
      <c r="S157" s="319" t="s">
        <v>383</v>
      </c>
      <c r="T157" s="319" t="s">
        <v>375</v>
      </c>
      <c r="W157" s="330" t="s">
        <v>540</v>
      </c>
      <c r="X157" s="331"/>
      <c r="Y157" s="332">
        <v>5.0</v>
      </c>
      <c r="Z157" s="333">
        <v>-251.4</v>
      </c>
      <c r="AA157" s="333">
        <v>-228.6</v>
      </c>
      <c r="AB157" s="334">
        <f t="shared" si="168"/>
        <v>22.8</v>
      </c>
      <c r="AC157" s="332">
        <f t="shared" si="169"/>
        <v>535.8375</v>
      </c>
      <c r="AD157" s="332">
        <v>537.8</v>
      </c>
      <c r="AE157" s="331">
        <f t="shared" si="170"/>
        <v>1.9625</v>
      </c>
      <c r="AF157" s="333">
        <v>570.2</v>
      </c>
      <c r="AG157" s="333">
        <v>570.2</v>
      </c>
      <c r="AH157" s="334">
        <v>1140.4</v>
      </c>
      <c r="AI157" s="331">
        <f t="shared" si="171"/>
        <v>0.051027198</v>
      </c>
      <c r="AJ157" s="332">
        <v>7820.0</v>
      </c>
      <c r="AK157" s="331">
        <f t="shared" si="172"/>
        <v>399.0326884</v>
      </c>
      <c r="AL157" s="335"/>
      <c r="AM157" s="158"/>
      <c r="AN157" s="158"/>
      <c r="AO157" s="158"/>
    </row>
    <row r="158">
      <c r="B158" s="330" t="s">
        <v>593</v>
      </c>
      <c r="C158" s="331"/>
      <c r="D158" s="332">
        <v>6.0</v>
      </c>
      <c r="E158" s="333">
        <v>570.2</v>
      </c>
      <c r="F158" s="333">
        <v>570.2</v>
      </c>
      <c r="G158" s="334">
        <v>1140.4</v>
      </c>
      <c r="H158" s="332">
        <f t="shared" si="162"/>
        <v>535.8375</v>
      </c>
      <c r="I158" s="332">
        <f t="shared" si="163"/>
        <v>537.8</v>
      </c>
      <c r="J158" s="331">
        <f t="shared" si="164"/>
        <v>1.9625</v>
      </c>
      <c r="K158" s="332">
        <v>388.6</v>
      </c>
      <c r="L158" s="332">
        <v>411.4</v>
      </c>
      <c r="M158" s="331">
        <f t="shared" si="165"/>
        <v>22.8</v>
      </c>
      <c r="N158" s="331">
        <f t="shared" si="166"/>
        <v>0.051027198</v>
      </c>
      <c r="O158" s="332">
        <v>7820.0</v>
      </c>
      <c r="P158" s="331">
        <f t="shared" si="167"/>
        <v>399.0326884</v>
      </c>
      <c r="Q158" s="335"/>
      <c r="S158" s="319" t="s">
        <v>385</v>
      </c>
      <c r="T158" s="319" t="s">
        <v>375</v>
      </c>
      <c r="W158" s="330" t="s">
        <v>542</v>
      </c>
      <c r="X158" s="331"/>
      <c r="Y158" s="332">
        <v>6.0</v>
      </c>
      <c r="Z158" s="333">
        <v>-411.4</v>
      </c>
      <c r="AA158" s="333">
        <v>-388.6</v>
      </c>
      <c r="AB158" s="334">
        <f t="shared" si="168"/>
        <v>22.8</v>
      </c>
      <c r="AC158" s="332">
        <f t="shared" si="169"/>
        <v>535.8375</v>
      </c>
      <c r="AD158" s="332">
        <v>537.8</v>
      </c>
      <c r="AE158" s="331">
        <f t="shared" si="170"/>
        <v>1.9625</v>
      </c>
      <c r="AF158" s="333">
        <v>570.2</v>
      </c>
      <c r="AG158" s="333">
        <v>570.2</v>
      </c>
      <c r="AH158" s="334">
        <v>1140.4</v>
      </c>
      <c r="AI158" s="331">
        <f t="shared" si="171"/>
        <v>0.051027198</v>
      </c>
      <c r="AJ158" s="332">
        <v>7820.0</v>
      </c>
      <c r="AK158" s="331">
        <f t="shared" si="172"/>
        <v>399.0326884</v>
      </c>
      <c r="AL158" s="335"/>
      <c r="AM158" s="158"/>
      <c r="AN158" s="158"/>
      <c r="AO158" s="158"/>
    </row>
    <row r="159">
      <c r="B159" s="336"/>
      <c r="C159" s="331"/>
      <c r="D159" s="332" t="s">
        <v>294</v>
      </c>
      <c r="E159" s="331"/>
      <c r="F159" s="331"/>
      <c r="G159" s="331"/>
      <c r="H159" s="331"/>
      <c r="I159" s="331"/>
      <c r="J159" s="331"/>
      <c r="K159" s="331"/>
      <c r="L159" s="331"/>
      <c r="M159" s="331"/>
      <c r="N159" s="331">
        <f>SUM(N153:N158)</f>
        <v>0.306163188</v>
      </c>
      <c r="O159" s="331"/>
      <c r="P159" s="331">
        <f>SUM(P153:P158)</f>
        <v>2394.19613</v>
      </c>
      <c r="Q159" s="335"/>
      <c r="S159" s="321"/>
      <c r="T159" s="321"/>
      <c r="U159" s="321"/>
      <c r="V159" s="321"/>
      <c r="W159" s="336"/>
      <c r="X159" s="331"/>
      <c r="Y159" s="332" t="s">
        <v>294</v>
      </c>
      <c r="Z159" s="331"/>
      <c r="AA159" s="331"/>
      <c r="AB159" s="331"/>
      <c r="AC159" s="331"/>
      <c r="AD159" s="331"/>
      <c r="AE159" s="331"/>
      <c r="AF159" s="331"/>
      <c r="AG159" s="331"/>
      <c r="AH159" s="331"/>
      <c r="AI159" s="331">
        <f>SUM(AI153:AI158)</f>
        <v>0.306163188</v>
      </c>
      <c r="AJ159" s="331"/>
      <c r="AK159" s="331">
        <f>SUM(AK153:AK158)</f>
        <v>2394.19613</v>
      </c>
      <c r="AL159" s="335"/>
      <c r="AM159" s="158">
        <f>AI159+N159</f>
        <v>0.612326376</v>
      </c>
      <c r="AN159" s="158"/>
      <c r="AO159" s="158"/>
    </row>
    <row r="160">
      <c r="B160" s="336"/>
      <c r="C160" s="331"/>
      <c r="D160" s="331"/>
      <c r="E160" s="331"/>
      <c r="F160" s="331"/>
      <c r="G160" s="331"/>
      <c r="H160" s="331"/>
      <c r="I160" s="331"/>
      <c r="J160" s="331"/>
      <c r="K160" s="331"/>
      <c r="L160" s="331"/>
      <c r="M160" s="331"/>
      <c r="N160" s="331"/>
      <c r="O160" s="331"/>
      <c r="P160" s="331">
        <f>P159/1000</f>
        <v>2.39419613</v>
      </c>
      <c r="Q160" s="337" t="s">
        <v>371</v>
      </c>
      <c r="S160" s="321"/>
      <c r="T160" s="321"/>
      <c r="U160" s="321"/>
      <c r="V160" s="321"/>
      <c r="W160" s="336"/>
      <c r="X160" s="331"/>
      <c r="Y160" s="331"/>
      <c r="Z160" s="331"/>
      <c r="AA160" s="331"/>
      <c r="AB160" s="331"/>
      <c r="AC160" s="331"/>
      <c r="AD160" s="331"/>
      <c r="AE160" s="331"/>
      <c r="AF160" s="331"/>
      <c r="AG160" s="331"/>
      <c r="AH160" s="331"/>
      <c r="AI160" s="331"/>
      <c r="AJ160" s="331"/>
      <c r="AK160" s="331">
        <f>AK159/1000</f>
        <v>2.39419613</v>
      </c>
      <c r="AL160" s="337" t="s">
        <v>371</v>
      </c>
      <c r="AM160" s="307"/>
      <c r="AN160" s="307"/>
      <c r="AO160" s="307"/>
    </row>
    <row r="161">
      <c r="B161" s="336"/>
      <c r="C161" s="331"/>
      <c r="D161" s="331"/>
      <c r="E161" s="331"/>
      <c r="F161" s="331"/>
      <c r="G161" s="331"/>
      <c r="H161" s="331"/>
      <c r="I161" s="331"/>
      <c r="J161" s="331"/>
      <c r="K161" s="331"/>
      <c r="L161" s="331"/>
      <c r="M161" s="331"/>
      <c r="N161" s="331"/>
      <c r="O161" s="331"/>
      <c r="P161" s="331"/>
      <c r="Q161" s="337"/>
      <c r="S161" s="321"/>
      <c r="T161" s="321"/>
      <c r="U161" s="321"/>
      <c r="V161" s="321"/>
      <c r="W161" s="336"/>
      <c r="X161" s="331"/>
      <c r="Y161" s="331"/>
      <c r="Z161" s="331"/>
      <c r="AA161" s="331"/>
      <c r="AB161" s="331"/>
      <c r="AC161" s="331"/>
      <c r="AD161" s="331"/>
      <c r="AE161" s="331"/>
      <c r="AF161" s="331"/>
      <c r="AG161" s="331"/>
      <c r="AH161" s="331"/>
      <c r="AI161" s="331"/>
      <c r="AJ161" s="331"/>
      <c r="AK161" s="331"/>
      <c r="AL161" s="337"/>
      <c r="AM161" s="307"/>
      <c r="AN161" s="307"/>
      <c r="AO161" s="307"/>
    </row>
    <row r="162">
      <c r="B162" s="338" t="s">
        <v>330</v>
      </c>
      <c r="C162" s="332" t="s">
        <v>386</v>
      </c>
      <c r="D162" s="362" t="s">
        <v>506</v>
      </c>
      <c r="E162" s="332" t="s">
        <v>333</v>
      </c>
      <c r="F162" s="332" t="s">
        <v>334</v>
      </c>
      <c r="G162" s="332" t="s">
        <v>335</v>
      </c>
      <c r="H162" s="332" t="s">
        <v>336</v>
      </c>
      <c r="I162" s="332" t="s">
        <v>337</v>
      </c>
      <c r="J162" s="332" t="s">
        <v>338</v>
      </c>
      <c r="K162" s="332" t="s">
        <v>339</v>
      </c>
      <c r="L162" s="332" t="s">
        <v>340</v>
      </c>
      <c r="M162" s="332" t="s">
        <v>341</v>
      </c>
      <c r="N162" s="332" t="s">
        <v>235</v>
      </c>
      <c r="O162" s="332" t="s">
        <v>342</v>
      </c>
      <c r="P162" s="332" t="s">
        <v>229</v>
      </c>
      <c r="Q162" s="335"/>
      <c r="S162" s="321"/>
      <c r="T162" s="321"/>
      <c r="U162" s="321"/>
      <c r="V162" s="321"/>
      <c r="W162" s="338" t="s">
        <v>330</v>
      </c>
      <c r="X162" s="332" t="s">
        <v>386</v>
      </c>
      <c r="Y162" s="362" t="s">
        <v>506</v>
      </c>
      <c r="Z162" s="332" t="s">
        <v>333</v>
      </c>
      <c r="AA162" s="332" t="s">
        <v>334</v>
      </c>
      <c r="AB162" s="332" t="s">
        <v>335</v>
      </c>
      <c r="AC162" s="332" t="s">
        <v>336</v>
      </c>
      <c r="AD162" s="332" t="s">
        <v>337</v>
      </c>
      <c r="AE162" s="332" t="s">
        <v>338</v>
      </c>
      <c r="AF162" s="332" t="s">
        <v>339</v>
      </c>
      <c r="AG162" s="332" t="s">
        <v>340</v>
      </c>
      <c r="AH162" s="332" t="s">
        <v>341</v>
      </c>
      <c r="AI162" s="332" t="s">
        <v>235</v>
      </c>
      <c r="AJ162" s="332" t="s">
        <v>342</v>
      </c>
      <c r="AK162" s="332" t="s">
        <v>229</v>
      </c>
      <c r="AL162" s="335"/>
      <c r="AM162" s="158"/>
      <c r="AN162" s="158"/>
      <c r="AO162" s="158"/>
    </row>
    <row r="163">
      <c r="B163" s="330" t="s">
        <v>543</v>
      </c>
      <c r="C163" s="331"/>
      <c r="D163" s="332">
        <v>1.0</v>
      </c>
      <c r="E163" s="333">
        <v>508.4</v>
      </c>
      <c r="F163" s="333">
        <v>508.4</v>
      </c>
      <c r="G163" s="334">
        <f t="shared" ref="G163:G168" si="173">SUM(E163:F163)</f>
        <v>1016.8</v>
      </c>
      <c r="H163" s="332">
        <f t="shared" ref="H163:H168" si="174">I163+1.9625</f>
        <v>477.1425</v>
      </c>
      <c r="I163" s="332">
        <v>475.18</v>
      </c>
      <c r="J163" s="331">
        <f t="shared" ref="J163:J168" si="175">H163-I163</f>
        <v>1.9625</v>
      </c>
      <c r="K163" s="332">
        <v>-411.4</v>
      </c>
      <c r="L163" s="332">
        <v>-388.6</v>
      </c>
      <c r="M163" s="331">
        <f t="shared" ref="M163:M168" si="176">L163-K163</f>
        <v>22.8</v>
      </c>
      <c r="N163" s="331">
        <f t="shared" ref="N163:N168" si="177">(G163*J163*M163)/1000000</f>
        <v>0.045496716</v>
      </c>
      <c r="O163" s="332">
        <v>7820.0</v>
      </c>
      <c r="P163" s="331">
        <f t="shared" ref="P163:P168" si="178">N163*O163</f>
        <v>355.7843191</v>
      </c>
      <c r="Q163" s="335"/>
      <c r="S163" s="319" t="s">
        <v>388</v>
      </c>
      <c r="T163" s="319" t="s">
        <v>389</v>
      </c>
      <c r="W163" s="330" t="s">
        <v>544</v>
      </c>
      <c r="X163" s="331"/>
      <c r="Y163" s="332">
        <v>1.0</v>
      </c>
      <c r="Z163" s="333">
        <v>388.6</v>
      </c>
      <c r="AA163" s="333">
        <v>411.4</v>
      </c>
      <c r="AB163" s="331">
        <f t="shared" ref="AB163:AB168" si="179">AA163-Z163</f>
        <v>22.8</v>
      </c>
      <c r="AC163" s="332">
        <f t="shared" ref="AC163:AC168" si="180">AD163+1.9625</f>
        <v>477.1425</v>
      </c>
      <c r="AD163" s="332">
        <v>475.18</v>
      </c>
      <c r="AE163" s="331">
        <f t="shared" ref="AE163:AE168" si="181">AC163-AD163</f>
        <v>1.9625</v>
      </c>
      <c r="AF163" s="333">
        <v>508.4</v>
      </c>
      <c r="AG163" s="333">
        <v>508.4</v>
      </c>
      <c r="AH163" s="334">
        <f t="shared" ref="AH163:AH168" si="182">SUM(AF163:AG163)</f>
        <v>1016.8</v>
      </c>
      <c r="AI163" s="331">
        <f t="shared" ref="AI163:AI168" si="183">(AB163*AE163*AH163)/1000000</f>
        <v>0.045496716</v>
      </c>
      <c r="AJ163" s="332">
        <v>7820.0</v>
      </c>
      <c r="AK163" s="331">
        <f t="shared" ref="AK163:AK168" si="184">AI163*AJ163</f>
        <v>355.7843191</v>
      </c>
      <c r="AL163" s="335"/>
      <c r="AM163" s="158"/>
      <c r="AN163" s="158"/>
      <c r="AO163" s="158"/>
    </row>
    <row r="164">
      <c r="B164" s="330" t="s">
        <v>545</v>
      </c>
      <c r="C164" s="331"/>
      <c r="D164" s="332">
        <v>2.0</v>
      </c>
      <c r="E164" s="333">
        <v>508.4</v>
      </c>
      <c r="F164" s="333">
        <v>508.4</v>
      </c>
      <c r="G164" s="334">
        <f t="shared" si="173"/>
        <v>1016.8</v>
      </c>
      <c r="H164" s="332">
        <f t="shared" si="174"/>
        <v>477.1425</v>
      </c>
      <c r="I164" s="332">
        <v>475.18</v>
      </c>
      <c r="J164" s="331">
        <f t="shared" si="175"/>
        <v>1.9625</v>
      </c>
      <c r="K164" s="332">
        <v>-251.4</v>
      </c>
      <c r="L164" s="332">
        <v>-228.6</v>
      </c>
      <c r="M164" s="331">
        <f t="shared" si="176"/>
        <v>22.8</v>
      </c>
      <c r="N164" s="331">
        <f t="shared" si="177"/>
        <v>0.045496716</v>
      </c>
      <c r="O164" s="332">
        <v>7820.0</v>
      </c>
      <c r="P164" s="331">
        <f t="shared" si="178"/>
        <v>355.7843191</v>
      </c>
      <c r="Q164" s="335"/>
      <c r="S164" s="319" t="s">
        <v>391</v>
      </c>
      <c r="T164" s="319" t="s">
        <v>389</v>
      </c>
      <c r="W164" s="330" t="s">
        <v>546</v>
      </c>
      <c r="X164" s="331"/>
      <c r="Y164" s="332">
        <v>2.0</v>
      </c>
      <c r="Z164" s="333">
        <v>228.6</v>
      </c>
      <c r="AA164" s="333">
        <v>251.4</v>
      </c>
      <c r="AB164" s="331">
        <f t="shared" si="179"/>
        <v>22.8</v>
      </c>
      <c r="AC164" s="332">
        <f t="shared" si="180"/>
        <v>477.1425</v>
      </c>
      <c r="AD164" s="332">
        <v>475.18</v>
      </c>
      <c r="AE164" s="331">
        <f t="shared" si="181"/>
        <v>1.9625</v>
      </c>
      <c r="AF164" s="333">
        <v>508.4</v>
      </c>
      <c r="AG164" s="333">
        <v>508.4</v>
      </c>
      <c r="AH164" s="334">
        <f t="shared" si="182"/>
        <v>1016.8</v>
      </c>
      <c r="AI164" s="331">
        <f t="shared" si="183"/>
        <v>0.045496716</v>
      </c>
      <c r="AJ164" s="332">
        <v>7820.0</v>
      </c>
      <c r="AK164" s="331">
        <f t="shared" si="184"/>
        <v>355.7843191</v>
      </c>
      <c r="AL164" s="335"/>
      <c r="AM164" s="158"/>
      <c r="AN164" s="158"/>
      <c r="AO164" s="158"/>
    </row>
    <row r="165">
      <c r="B165" s="330" t="s">
        <v>547</v>
      </c>
      <c r="C165" s="331"/>
      <c r="D165" s="332">
        <v>3.0</v>
      </c>
      <c r="E165" s="333">
        <v>508.4</v>
      </c>
      <c r="F165" s="333">
        <v>508.4</v>
      </c>
      <c r="G165" s="334">
        <f t="shared" si="173"/>
        <v>1016.8</v>
      </c>
      <c r="H165" s="332">
        <f t="shared" si="174"/>
        <v>477.1425</v>
      </c>
      <c r="I165" s="332">
        <v>475.18</v>
      </c>
      <c r="J165" s="331">
        <f t="shared" si="175"/>
        <v>1.9625</v>
      </c>
      <c r="K165" s="332">
        <v>-91.4</v>
      </c>
      <c r="L165" s="332">
        <v>-68.6</v>
      </c>
      <c r="M165" s="331">
        <f t="shared" si="176"/>
        <v>22.8</v>
      </c>
      <c r="N165" s="331">
        <f t="shared" si="177"/>
        <v>0.045496716</v>
      </c>
      <c r="O165" s="332">
        <v>7820.0</v>
      </c>
      <c r="P165" s="331">
        <f t="shared" si="178"/>
        <v>355.7843191</v>
      </c>
      <c r="Q165" s="335"/>
      <c r="S165" s="319" t="s">
        <v>393</v>
      </c>
      <c r="T165" s="319" t="s">
        <v>389</v>
      </c>
      <c r="W165" s="330" t="s">
        <v>548</v>
      </c>
      <c r="X165" s="331"/>
      <c r="Y165" s="332">
        <v>3.0</v>
      </c>
      <c r="Z165" s="333">
        <v>68.6</v>
      </c>
      <c r="AA165" s="333">
        <v>91.4</v>
      </c>
      <c r="AB165" s="331">
        <f t="shared" si="179"/>
        <v>22.8</v>
      </c>
      <c r="AC165" s="332">
        <f t="shared" si="180"/>
        <v>477.1425</v>
      </c>
      <c r="AD165" s="332">
        <v>475.18</v>
      </c>
      <c r="AE165" s="331">
        <f t="shared" si="181"/>
        <v>1.9625</v>
      </c>
      <c r="AF165" s="333">
        <v>508.4</v>
      </c>
      <c r="AG165" s="333">
        <v>508.4</v>
      </c>
      <c r="AH165" s="334">
        <f t="shared" si="182"/>
        <v>1016.8</v>
      </c>
      <c r="AI165" s="331">
        <f t="shared" si="183"/>
        <v>0.045496716</v>
      </c>
      <c r="AJ165" s="332">
        <v>7820.0</v>
      </c>
      <c r="AK165" s="331">
        <f t="shared" si="184"/>
        <v>355.7843191</v>
      </c>
      <c r="AL165" s="335"/>
      <c r="AM165" s="158"/>
      <c r="AN165" s="158"/>
      <c r="AO165" s="158"/>
    </row>
    <row r="166">
      <c r="B166" s="330" t="s">
        <v>549</v>
      </c>
      <c r="C166" s="331"/>
      <c r="D166" s="332">
        <v>4.0</v>
      </c>
      <c r="E166" s="333">
        <v>508.4</v>
      </c>
      <c r="F166" s="333">
        <v>508.4</v>
      </c>
      <c r="G166" s="334">
        <f t="shared" si="173"/>
        <v>1016.8</v>
      </c>
      <c r="H166" s="332">
        <f t="shared" si="174"/>
        <v>477.1425</v>
      </c>
      <c r="I166" s="332">
        <v>475.18</v>
      </c>
      <c r="J166" s="331">
        <f t="shared" si="175"/>
        <v>1.9625</v>
      </c>
      <c r="K166" s="332">
        <v>68.6</v>
      </c>
      <c r="L166" s="332">
        <v>91.4</v>
      </c>
      <c r="M166" s="331">
        <f t="shared" si="176"/>
        <v>22.8</v>
      </c>
      <c r="N166" s="331">
        <f t="shared" si="177"/>
        <v>0.045496716</v>
      </c>
      <c r="O166" s="332">
        <v>7820.0</v>
      </c>
      <c r="P166" s="331">
        <f t="shared" si="178"/>
        <v>355.7843191</v>
      </c>
      <c r="Q166" s="335"/>
      <c r="S166" s="319" t="s">
        <v>395</v>
      </c>
      <c r="T166" s="319" t="s">
        <v>389</v>
      </c>
      <c r="W166" s="330" t="s">
        <v>550</v>
      </c>
      <c r="X166" s="331"/>
      <c r="Y166" s="332">
        <v>4.0</v>
      </c>
      <c r="Z166" s="333">
        <v>-91.4</v>
      </c>
      <c r="AA166" s="333">
        <v>-68.6</v>
      </c>
      <c r="AB166" s="331">
        <f t="shared" si="179"/>
        <v>22.8</v>
      </c>
      <c r="AC166" s="332">
        <f t="shared" si="180"/>
        <v>477.1425</v>
      </c>
      <c r="AD166" s="332">
        <v>475.18</v>
      </c>
      <c r="AE166" s="331">
        <f t="shared" si="181"/>
        <v>1.9625</v>
      </c>
      <c r="AF166" s="333">
        <v>508.4</v>
      </c>
      <c r="AG166" s="333">
        <v>508.4</v>
      </c>
      <c r="AH166" s="334">
        <f t="shared" si="182"/>
        <v>1016.8</v>
      </c>
      <c r="AI166" s="331">
        <f t="shared" si="183"/>
        <v>0.045496716</v>
      </c>
      <c r="AJ166" s="332">
        <v>7820.0</v>
      </c>
      <c r="AK166" s="331">
        <f t="shared" si="184"/>
        <v>355.7843191</v>
      </c>
      <c r="AL166" s="335"/>
      <c r="AM166" s="158"/>
      <c r="AN166" s="158"/>
      <c r="AO166" s="158"/>
    </row>
    <row r="167">
      <c r="B167" s="330" t="s">
        <v>551</v>
      </c>
      <c r="C167" s="331"/>
      <c r="D167" s="332">
        <v>5.0</v>
      </c>
      <c r="E167" s="333">
        <v>508.4</v>
      </c>
      <c r="F167" s="333">
        <v>508.4</v>
      </c>
      <c r="G167" s="334">
        <f t="shared" si="173"/>
        <v>1016.8</v>
      </c>
      <c r="H167" s="332">
        <f t="shared" si="174"/>
        <v>477.1425</v>
      </c>
      <c r="I167" s="332">
        <v>475.18</v>
      </c>
      <c r="J167" s="331">
        <f t="shared" si="175"/>
        <v>1.9625</v>
      </c>
      <c r="K167" s="332">
        <v>228.6</v>
      </c>
      <c r="L167" s="332">
        <v>251.4</v>
      </c>
      <c r="M167" s="331">
        <f t="shared" si="176"/>
        <v>22.8</v>
      </c>
      <c r="N167" s="331">
        <f t="shared" si="177"/>
        <v>0.045496716</v>
      </c>
      <c r="O167" s="332">
        <v>7820.0</v>
      </c>
      <c r="P167" s="331">
        <f t="shared" si="178"/>
        <v>355.7843191</v>
      </c>
      <c r="Q167" s="335"/>
      <c r="S167" s="319" t="s">
        <v>397</v>
      </c>
      <c r="T167" s="319" t="s">
        <v>389</v>
      </c>
      <c r="W167" s="330" t="s">
        <v>552</v>
      </c>
      <c r="X167" s="331"/>
      <c r="Y167" s="332">
        <v>5.0</v>
      </c>
      <c r="Z167" s="333">
        <v>-251.4</v>
      </c>
      <c r="AA167" s="333">
        <v>-228.6</v>
      </c>
      <c r="AB167" s="331">
        <f t="shared" si="179"/>
        <v>22.8</v>
      </c>
      <c r="AC167" s="332">
        <f t="shared" si="180"/>
        <v>477.1425</v>
      </c>
      <c r="AD167" s="332">
        <v>475.18</v>
      </c>
      <c r="AE167" s="331">
        <f t="shared" si="181"/>
        <v>1.9625</v>
      </c>
      <c r="AF167" s="333">
        <v>508.4</v>
      </c>
      <c r="AG167" s="333">
        <v>508.4</v>
      </c>
      <c r="AH167" s="334">
        <f t="shared" si="182"/>
        <v>1016.8</v>
      </c>
      <c r="AI167" s="331">
        <f t="shared" si="183"/>
        <v>0.045496716</v>
      </c>
      <c r="AJ167" s="332">
        <v>7820.0</v>
      </c>
      <c r="AK167" s="331">
        <f t="shared" si="184"/>
        <v>355.7843191</v>
      </c>
      <c r="AL167" s="335"/>
      <c r="AM167" s="158"/>
      <c r="AN167" s="158"/>
      <c r="AO167" s="158"/>
    </row>
    <row r="168">
      <c r="B168" s="330" t="s">
        <v>553</v>
      </c>
      <c r="C168" s="331"/>
      <c r="D168" s="332">
        <v>6.0</v>
      </c>
      <c r="E168" s="333">
        <v>508.4</v>
      </c>
      <c r="F168" s="333">
        <v>508.4</v>
      </c>
      <c r="G168" s="334">
        <f t="shared" si="173"/>
        <v>1016.8</v>
      </c>
      <c r="H168" s="332">
        <f t="shared" si="174"/>
        <v>477.1425</v>
      </c>
      <c r="I168" s="332">
        <v>475.18</v>
      </c>
      <c r="J168" s="331">
        <f t="shared" si="175"/>
        <v>1.9625</v>
      </c>
      <c r="K168" s="332">
        <v>388.6</v>
      </c>
      <c r="L168" s="332">
        <v>411.4</v>
      </c>
      <c r="M168" s="331">
        <f t="shared" si="176"/>
        <v>22.8</v>
      </c>
      <c r="N168" s="331">
        <f t="shared" si="177"/>
        <v>0.045496716</v>
      </c>
      <c r="O168" s="332">
        <v>7820.0</v>
      </c>
      <c r="P168" s="331">
        <f t="shared" si="178"/>
        <v>355.7843191</v>
      </c>
      <c r="Q168" s="335"/>
      <c r="S168" s="319" t="s">
        <v>399</v>
      </c>
      <c r="T168" s="319" t="s">
        <v>389</v>
      </c>
      <c r="W168" s="330" t="s">
        <v>554</v>
      </c>
      <c r="X168" s="331"/>
      <c r="Y168" s="332">
        <v>6.0</v>
      </c>
      <c r="Z168" s="333">
        <v>-411.4</v>
      </c>
      <c r="AA168" s="333">
        <v>-388.6</v>
      </c>
      <c r="AB168" s="331">
        <f t="shared" si="179"/>
        <v>22.8</v>
      </c>
      <c r="AC168" s="332">
        <f t="shared" si="180"/>
        <v>477.1425</v>
      </c>
      <c r="AD168" s="332">
        <v>475.18</v>
      </c>
      <c r="AE168" s="331">
        <f t="shared" si="181"/>
        <v>1.9625</v>
      </c>
      <c r="AF168" s="333">
        <v>508.4</v>
      </c>
      <c r="AG168" s="333">
        <v>508.4</v>
      </c>
      <c r="AH168" s="334">
        <f t="shared" si="182"/>
        <v>1016.8</v>
      </c>
      <c r="AI168" s="331">
        <f t="shared" si="183"/>
        <v>0.045496716</v>
      </c>
      <c r="AJ168" s="332">
        <v>7820.0</v>
      </c>
      <c r="AK168" s="331">
        <f t="shared" si="184"/>
        <v>355.7843191</v>
      </c>
      <c r="AL168" s="335"/>
      <c r="AM168" s="158"/>
      <c r="AN168" s="158"/>
      <c r="AO168" s="158"/>
    </row>
    <row r="169">
      <c r="B169" s="336"/>
      <c r="C169" s="331"/>
      <c r="D169" s="332" t="s">
        <v>294</v>
      </c>
      <c r="E169" s="331"/>
      <c r="F169" s="331"/>
      <c r="G169" s="331"/>
      <c r="H169" s="331"/>
      <c r="I169" s="331"/>
      <c r="J169" s="331"/>
      <c r="K169" s="331"/>
      <c r="L169" s="331"/>
      <c r="M169" s="331"/>
      <c r="N169" s="331">
        <f>SUM(N163:N168)</f>
        <v>0.272980296</v>
      </c>
      <c r="O169" s="331"/>
      <c r="P169" s="331">
        <f>SUM(P163:P168)</f>
        <v>2134.705915</v>
      </c>
      <c r="Q169" s="335"/>
      <c r="S169" s="321"/>
      <c r="T169" s="321"/>
      <c r="U169" s="321"/>
      <c r="V169" s="321"/>
      <c r="W169" s="336"/>
      <c r="X169" s="331"/>
      <c r="Y169" s="332" t="s">
        <v>294</v>
      </c>
      <c r="Z169" s="331"/>
      <c r="AA169" s="331"/>
      <c r="AB169" s="331"/>
      <c r="AC169" s="331"/>
      <c r="AD169" s="331"/>
      <c r="AE169" s="331"/>
      <c r="AF169" s="333"/>
      <c r="AG169" s="331"/>
      <c r="AH169" s="331"/>
      <c r="AI169" s="331">
        <f>SUM(AI163:AI168)</f>
        <v>0.272980296</v>
      </c>
      <c r="AJ169" s="331"/>
      <c r="AK169" s="331">
        <f>SUM(AK163:AK168)</f>
        <v>2134.705915</v>
      </c>
      <c r="AL169" s="335"/>
      <c r="AM169" s="158">
        <f>AI169+N169</f>
        <v>0.545960592</v>
      </c>
      <c r="AN169" s="158"/>
      <c r="AO169" s="158"/>
    </row>
    <row r="170">
      <c r="B170" s="339"/>
      <c r="C170" s="340"/>
      <c r="D170" s="340"/>
      <c r="E170" s="340"/>
      <c r="F170" s="340"/>
      <c r="G170" s="340"/>
      <c r="H170" s="340"/>
      <c r="I170" s="340"/>
      <c r="J170" s="340"/>
      <c r="K170" s="340"/>
      <c r="L170" s="340"/>
      <c r="M170" s="340"/>
      <c r="N170" s="340"/>
      <c r="O170" s="340"/>
      <c r="P170" s="340">
        <f>P169/1000</f>
        <v>2.134705915</v>
      </c>
      <c r="Q170" s="341" t="s">
        <v>371</v>
      </c>
      <c r="S170" s="321"/>
      <c r="T170" s="321"/>
      <c r="U170" s="321"/>
      <c r="V170" s="321"/>
      <c r="W170" s="339"/>
      <c r="X170" s="340"/>
      <c r="Y170" s="340"/>
      <c r="Z170" s="340"/>
      <c r="AA170" s="340"/>
      <c r="AB170" s="340"/>
      <c r="AC170" s="340"/>
      <c r="AD170" s="340"/>
      <c r="AE170" s="340"/>
      <c r="AF170" s="340"/>
      <c r="AG170" s="340"/>
      <c r="AH170" s="340"/>
      <c r="AI170" s="340"/>
      <c r="AJ170" s="340"/>
      <c r="AK170" s="340">
        <f>AK169/1000</f>
        <v>2.134705915</v>
      </c>
      <c r="AL170" s="341" t="s">
        <v>371</v>
      </c>
      <c r="AM170" s="307"/>
      <c r="AN170" s="307"/>
      <c r="AO170" s="307"/>
    </row>
    <row r="171">
      <c r="H171" s="147">
        <f>570-J168</f>
        <v>568.0375</v>
      </c>
      <c r="S171" s="321"/>
      <c r="T171" s="321"/>
      <c r="U171" s="321"/>
      <c r="V171" s="321"/>
      <c r="AM171" s="158"/>
      <c r="AN171" s="158"/>
      <c r="AO171" s="158"/>
    </row>
    <row r="172">
      <c r="B172" s="342" t="s">
        <v>330</v>
      </c>
      <c r="C172" s="343" t="s">
        <v>400</v>
      </c>
      <c r="D172" s="364" t="s">
        <v>506</v>
      </c>
      <c r="E172" s="343" t="s">
        <v>333</v>
      </c>
      <c r="F172" s="343" t="s">
        <v>334</v>
      </c>
      <c r="G172" s="343" t="s">
        <v>335</v>
      </c>
      <c r="H172" s="343" t="s">
        <v>336</v>
      </c>
      <c r="I172" s="343" t="s">
        <v>337</v>
      </c>
      <c r="J172" s="343" t="s">
        <v>338</v>
      </c>
      <c r="K172" s="343" t="s">
        <v>339</v>
      </c>
      <c r="L172" s="343" t="s">
        <v>340</v>
      </c>
      <c r="M172" s="343" t="s">
        <v>341</v>
      </c>
      <c r="N172" s="343" t="s">
        <v>235</v>
      </c>
      <c r="O172" s="343" t="s">
        <v>342</v>
      </c>
      <c r="P172" s="343" t="s">
        <v>229</v>
      </c>
      <c r="Q172" s="344"/>
      <c r="S172" s="319" t="s">
        <v>401</v>
      </c>
      <c r="T172" s="319" t="s">
        <v>402</v>
      </c>
      <c r="U172" s="321"/>
      <c r="V172" s="321"/>
      <c r="W172" s="342" t="s">
        <v>330</v>
      </c>
      <c r="X172" s="343" t="s">
        <v>400</v>
      </c>
      <c r="Y172" s="364" t="s">
        <v>506</v>
      </c>
      <c r="Z172" s="343" t="s">
        <v>333</v>
      </c>
      <c r="AA172" s="343" t="s">
        <v>334</v>
      </c>
      <c r="AB172" s="343" t="s">
        <v>335</v>
      </c>
      <c r="AC172" s="343" t="s">
        <v>336</v>
      </c>
      <c r="AD172" s="343" t="s">
        <v>337</v>
      </c>
      <c r="AE172" s="343" t="s">
        <v>338</v>
      </c>
      <c r="AF172" s="343" t="s">
        <v>339</v>
      </c>
      <c r="AG172" s="343" t="s">
        <v>340</v>
      </c>
      <c r="AH172" s="343" t="s">
        <v>341</v>
      </c>
      <c r="AI172" s="343" t="s">
        <v>235</v>
      </c>
      <c r="AJ172" s="343" t="s">
        <v>342</v>
      </c>
      <c r="AK172" s="343" t="s">
        <v>229</v>
      </c>
      <c r="AL172" s="344"/>
      <c r="AM172" s="158"/>
      <c r="AN172" s="158"/>
      <c r="AO172" s="158"/>
    </row>
    <row r="173">
      <c r="B173" s="345" t="s">
        <v>555</v>
      </c>
      <c r="C173" s="346"/>
      <c r="D173" s="347">
        <v>1.0</v>
      </c>
      <c r="E173" s="348">
        <v>509.025</v>
      </c>
      <c r="F173" s="348">
        <v>510.9875</v>
      </c>
      <c r="G173" s="349">
        <f t="shared" ref="G173:G178" si="185">F173-E173</f>
        <v>1.9625</v>
      </c>
      <c r="H173" s="347">
        <v>535.0</v>
      </c>
      <c r="I173" s="347">
        <v>535.0</v>
      </c>
      <c r="J173" s="346">
        <f t="shared" ref="J173:J178" si="186">I173+H173</f>
        <v>1070</v>
      </c>
      <c r="K173" s="347">
        <v>-411.4</v>
      </c>
      <c r="L173" s="347">
        <v>-388.6</v>
      </c>
      <c r="M173" s="346">
        <f t="shared" ref="M173:M178" si="187">L173-K173</f>
        <v>22.8</v>
      </c>
      <c r="N173" s="346">
        <f t="shared" ref="N173:N178" si="188">(G173*J173*M173)/1000000</f>
        <v>0.04787715</v>
      </c>
      <c r="O173" s="347">
        <v>7820.0</v>
      </c>
      <c r="P173" s="346">
        <f t="shared" ref="P173:P178" si="189">N173*O173</f>
        <v>374.399313</v>
      </c>
      <c r="Q173" s="350"/>
      <c r="S173" s="319" t="s">
        <v>404</v>
      </c>
      <c r="T173" s="319" t="s">
        <v>405</v>
      </c>
      <c r="W173" s="345" t="s">
        <v>556</v>
      </c>
      <c r="X173" s="346"/>
      <c r="Y173" s="347">
        <v>1.0</v>
      </c>
      <c r="Z173" s="348">
        <v>509.025</v>
      </c>
      <c r="AA173" s="348">
        <f t="shared" ref="AA173:AA178" si="190">Z173+1.9625</f>
        <v>510.9875</v>
      </c>
      <c r="AB173" s="349">
        <f t="shared" ref="AB173:AB178" si="191">AA173-Z173</f>
        <v>1.9625</v>
      </c>
      <c r="AC173" s="347">
        <v>388.6</v>
      </c>
      <c r="AD173" s="347">
        <v>411.4</v>
      </c>
      <c r="AE173" s="346">
        <f t="shared" ref="AE173:AE178" si="192">AD173-AC173</f>
        <v>22.8</v>
      </c>
      <c r="AF173" s="347">
        <v>508.4</v>
      </c>
      <c r="AG173" s="347">
        <v>508.4</v>
      </c>
      <c r="AH173" s="346">
        <f t="shared" ref="AH173:AH178" si="193">SUM(AF173:AG173)</f>
        <v>1016.8</v>
      </c>
      <c r="AI173" s="346">
        <f t="shared" ref="AI173:AI178" si="194">(AB173*AE173*AH173)/1000000</f>
        <v>0.045496716</v>
      </c>
      <c r="AJ173" s="347">
        <v>7820.0</v>
      </c>
      <c r="AK173" s="346">
        <f t="shared" ref="AK173:AK178" si="195">AI173*AJ173</f>
        <v>355.7843191</v>
      </c>
      <c r="AL173" s="350"/>
      <c r="AM173" s="158"/>
      <c r="AN173" s="158"/>
      <c r="AO173" s="158"/>
    </row>
    <row r="174">
      <c r="B174" s="345" t="s">
        <v>557</v>
      </c>
      <c r="C174" s="346"/>
      <c r="D174" s="347">
        <v>2.0</v>
      </c>
      <c r="E174" s="348">
        <v>509.025</v>
      </c>
      <c r="F174" s="348">
        <v>510.9875</v>
      </c>
      <c r="G174" s="349">
        <f t="shared" si="185"/>
        <v>1.9625</v>
      </c>
      <c r="H174" s="347">
        <v>535.0</v>
      </c>
      <c r="I174" s="347">
        <v>535.0</v>
      </c>
      <c r="J174" s="346">
        <f t="shared" si="186"/>
        <v>1070</v>
      </c>
      <c r="K174" s="347">
        <v>-251.4</v>
      </c>
      <c r="L174" s="347">
        <v>-228.6</v>
      </c>
      <c r="M174" s="346">
        <f t="shared" si="187"/>
        <v>22.8</v>
      </c>
      <c r="N174" s="346">
        <f t="shared" si="188"/>
        <v>0.04787715</v>
      </c>
      <c r="O174" s="347">
        <v>7820.0</v>
      </c>
      <c r="P174" s="346">
        <f t="shared" si="189"/>
        <v>374.399313</v>
      </c>
      <c r="Q174" s="350"/>
      <c r="S174" s="319" t="s">
        <v>407</v>
      </c>
      <c r="T174" s="351" t="s">
        <v>405</v>
      </c>
      <c r="U174" s="321"/>
      <c r="V174" s="321"/>
      <c r="W174" s="345" t="s">
        <v>558</v>
      </c>
      <c r="X174" s="346"/>
      <c r="Y174" s="347">
        <v>2.0</v>
      </c>
      <c r="Z174" s="348">
        <v>509.025</v>
      </c>
      <c r="AA174" s="348">
        <f t="shared" si="190"/>
        <v>510.9875</v>
      </c>
      <c r="AB174" s="349">
        <f t="shared" si="191"/>
        <v>1.9625</v>
      </c>
      <c r="AC174" s="347">
        <v>228.6</v>
      </c>
      <c r="AD174" s="347">
        <v>251.4</v>
      </c>
      <c r="AE174" s="346">
        <f t="shared" si="192"/>
        <v>22.8</v>
      </c>
      <c r="AF174" s="347">
        <v>508.4</v>
      </c>
      <c r="AG174" s="347">
        <v>508.4</v>
      </c>
      <c r="AH174" s="346">
        <f t="shared" si="193"/>
        <v>1016.8</v>
      </c>
      <c r="AI174" s="346">
        <f t="shared" si="194"/>
        <v>0.045496716</v>
      </c>
      <c r="AJ174" s="347">
        <v>7820.0</v>
      </c>
      <c r="AK174" s="346">
        <f t="shared" si="195"/>
        <v>355.7843191</v>
      </c>
      <c r="AL174" s="350"/>
      <c r="AM174" s="158"/>
      <c r="AN174" s="158"/>
      <c r="AO174" s="158"/>
    </row>
    <row r="175">
      <c r="B175" s="345" t="s">
        <v>559</v>
      </c>
      <c r="C175" s="346"/>
      <c r="D175" s="347">
        <v>3.0</v>
      </c>
      <c r="E175" s="348">
        <v>509.025</v>
      </c>
      <c r="F175" s="348">
        <v>510.9875</v>
      </c>
      <c r="G175" s="349">
        <f t="shared" si="185"/>
        <v>1.9625</v>
      </c>
      <c r="H175" s="347">
        <v>535.0</v>
      </c>
      <c r="I175" s="347">
        <v>535.0</v>
      </c>
      <c r="J175" s="346">
        <f t="shared" si="186"/>
        <v>1070</v>
      </c>
      <c r="K175" s="347">
        <v>-91.4</v>
      </c>
      <c r="L175" s="347">
        <v>-68.6</v>
      </c>
      <c r="M175" s="346">
        <f t="shared" si="187"/>
        <v>22.8</v>
      </c>
      <c r="N175" s="346">
        <f t="shared" si="188"/>
        <v>0.04787715</v>
      </c>
      <c r="O175" s="347">
        <v>7820.0</v>
      </c>
      <c r="P175" s="346">
        <f t="shared" si="189"/>
        <v>374.399313</v>
      </c>
      <c r="Q175" s="350"/>
      <c r="S175" s="319" t="s">
        <v>409</v>
      </c>
      <c r="T175" s="351" t="s">
        <v>405</v>
      </c>
      <c r="U175" s="321"/>
      <c r="V175" s="321"/>
      <c r="W175" s="345" t="s">
        <v>560</v>
      </c>
      <c r="X175" s="346"/>
      <c r="Y175" s="347">
        <v>3.0</v>
      </c>
      <c r="Z175" s="348">
        <v>509.025</v>
      </c>
      <c r="AA175" s="348">
        <f t="shared" si="190"/>
        <v>510.9875</v>
      </c>
      <c r="AB175" s="349">
        <f t="shared" si="191"/>
        <v>1.9625</v>
      </c>
      <c r="AC175" s="347">
        <v>68.6</v>
      </c>
      <c r="AD175" s="347">
        <v>91.4</v>
      </c>
      <c r="AE175" s="346">
        <f t="shared" si="192"/>
        <v>22.8</v>
      </c>
      <c r="AF175" s="347">
        <v>508.4</v>
      </c>
      <c r="AG175" s="347">
        <v>508.4</v>
      </c>
      <c r="AH175" s="346">
        <f t="shared" si="193"/>
        <v>1016.8</v>
      </c>
      <c r="AI175" s="346">
        <f t="shared" si="194"/>
        <v>0.045496716</v>
      </c>
      <c r="AJ175" s="347">
        <v>7820.0</v>
      </c>
      <c r="AK175" s="346">
        <f t="shared" si="195"/>
        <v>355.7843191</v>
      </c>
      <c r="AL175" s="350"/>
      <c r="AM175" s="158"/>
      <c r="AN175" s="158"/>
      <c r="AO175" s="158"/>
    </row>
    <row r="176">
      <c r="B176" s="345" t="s">
        <v>561</v>
      </c>
      <c r="C176" s="346"/>
      <c r="D176" s="347">
        <v>4.0</v>
      </c>
      <c r="E176" s="348">
        <v>509.025</v>
      </c>
      <c r="F176" s="348">
        <v>510.9875</v>
      </c>
      <c r="G176" s="349">
        <f t="shared" si="185"/>
        <v>1.9625</v>
      </c>
      <c r="H176" s="347">
        <v>535.0</v>
      </c>
      <c r="I176" s="347">
        <v>535.0</v>
      </c>
      <c r="J176" s="346">
        <f t="shared" si="186"/>
        <v>1070</v>
      </c>
      <c r="K176" s="347">
        <v>68.6</v>
      </c>
      <c r="L176" s="347">
        <v>91.4</v>
      </c>
      <c r="M176" s="346">
        <f t="shared" si="187"/>
        <v>22.8</v>
      </c>
      <c r="N176" s="346">
        <f t="shared" si="188"/>
        <v>0.04787715</v>
      </c>
      <c r="O176" s="347">
        <v>7820.0</v>
      </c>
      <c r="P176" s="346">
        <f t="shared" si="189"/>
        <v>374.399313</v>
      </c>
      <c r="Q176" s="350"/>
      <c r="S176" s="319" t="s">
        <v>411</v>
      </c>
      <c r="T176" s="351" t="s">
        <v>405</v>
      </c>
      <c r="U176" s="321"/>
      <c r="V176" s="321"/>
      <c r="W176" s="345" t="s">
        <v>562</v>
      </c>
      <c r="X176" s="346"/>
      <c r="Y176" s="347">
        <v>4.0</v>
      </c>
      <c r="Z176" s="348">
        <v>509.025</v>
      </c>
      <c r="AA176" s="348">
        <f t="shared" si="190"/>
        <v>510.9875</v>
      </c>
      <c r="AB176" s="349">
        <f t="shared" si="191"/>
        <v>1.9625</v>
      </c>
      <c r="AC176" s="347">
        <v>-91.4</v>
      </c>
      <c r="AD176" s="347">
        <v>-68.6</v>
      </c>
      <c r="AE176" s="346">
        <f t="shared" si="192"/>
        <v>22.8</v>
      </c>
      <c r="AF176" s="347">
        <v>508.4</v>
      </c>
      <c r="AG176" s="347">
        <v>508.4</v>
      </c>
      <c r="AH176" s="346">
        <f t="shared" si="193"/>
        <v>1016.8</v>
      </c>
      <c r="AI176" s="346">
        <f t="shared" si="194"/>
        <v>0.045496716</v>
      </c>
      <c r="AJ176" s="347">
        <v>7820.0</v>
      </c>
      <c r="AK176" s="346">
        <f t="shared" si="195"/>
        <v>355.7843191</v>
      </c>
      <c r="AL176" s="350"/>
      <c r="AM176" s="158"/>
      <c r="AN176" s="158"/>
      <c r="AO176" s="158"/>
    </row>
    <row r="177">
      <c r="B177" s="345" t="s">
        <v>563</v>
      </c>
      <c r="C177" s="346"/>
      <c r="D177" s="347">
        <v>5.0</v>
      </c>
      <c r="E177" s="348">
        <v>509.025</v>
      </c>
      <c r="F177" s="348">
        <v>510.9875</v>
      </c>
      <c r="G177" s="349">
        <f t="shared" si="185"/>
        <v>1.9625</v>
      </c>
      <c r="H177" s="347">
        <v>535.0</v>
      </c>
      <c r="I177" s="347">
        <v>535.0</v>
      </c>
      <c r="J177" s="346">
        <f t="shared" si="186"/>
        <v>1070</v>
      </c>
      <c r="K177" s="347">
        <v>228.6</v>
      </c>
      <c r="L177" s="347">
        <v>251.4</v>
      </c>
      <c r="M177" s="346">
        <f t="shared" si="187"/>
        <v>22.8</v>
      </c>
      <c r="N177" s="346">
        <f t="shared" si="188"/>
        <v>0.04787715</v>
      </c>
      <c r="O177" s="347">
        <v>7820.0</v>
      </c>
      <c r="P177" s="346">
        <f t="shared" si="189"/>
        <v>374.399313</v>
      </c>
      <c r="Q177" s="350"/>
      <c r="S177" s="319" t="s">
        <v>413</v>
      </c>
      <c r="T177" s="351" t="s">
        <v>405</v>
      </c>
      <c r="U177" s="321"/>
      <c r="V177" s="321"/>
      <c r="W177" s="345" t="s">
        <v>564</v>
      </c>
      <c r="X177" s="346"/>
      <c r="Y177" s="347">
        <v>5.0</v>
      </c>
      <c r="Z177" s="348">
        <v>509.025</v>
      </c>
      <c r="AA177" s="348">
        <f t="shared" si="190"/>
        <v>510.9875</v>
      </c>
      <c r="AB177" s="349">
        <f t="shared" si="191"/>
        <v>1.9625</v>
      </c>
      <c r="AC177" s="347">
        <v>-251.4</v>
      </c>
      <c r="AD177" s="347">
        <v>-228.6</v>
      </c>
      <c r="AE177" s="346">
        <f t="shared" si="192"/>
        <v>22.8</v>
      </c>
      <c r="AF177" s="347">
        <v>508.4</v>
      </c>
      <c r="AG177" s="347">
        <v>508.4</v>
      </c>
      <c r="AH177" s="346">
        <f t="shared" si="193"/>
        <v>1016.8</v>
      </c>
      <c r="AI177" s="346">
        <f t="shared" si="194"/>
        <v>0.045496716</v>
      </c>
      <c r="AJ177" s="347">
        <v>7820.0</v>
      </c>
      <c r="AK177" s="346">
        <f t="shared" si="195"/>
        <v>355.7843191</v>
      </c>
      <c r="AL177" s="350"/>
      <c r="AM177" s="158"/>
      <c r="AN177" s="158"/>
      <c r="AO177" s="158"/>
    </row>
    <row r="178">
      <c r="B178" s="345" t="s">
        <v>565</v>
      </c>
      <c r="C178" s="346"/>
      <c r="D178" s="347">
        <v>6.0</v>
      </c>
      <c r="E178" s="348">
        <v>509.025</v>
      </c>
      <c r="F178" s="348">
        <v>510.9875</v>
      </c>
      <c r="G178" s="349">
        <f t="shared" si="185"/>
        <v>1.9625</v>
      </c>
      <c r="H178" s="347">
        <v>535.0</v>
      </c>
      <c r="I178" s="347">
        <v>535.0</v>
      </c>
      <c r="J178" s="346">
        <f t="shared" si="186"/>
        <v>1070</v>
      </c>
      <c r="K178" s="347">
        <v>388.6</v>
      </c>
      <c r="L178" s="347">
        <v>411.4</v>
      </c>
      <c r="M178" s="346">
        <f t="shared" si="187"/>
        <v>22.8</v>
      </c>
      <c r="N178" s="346">
        <f t="shared" si="188"/>
        <v>0.04787715</v>
      </c>
      <c r="O178" s="347">
        <v>7820.0</v>
      </c>
      <c r="P178" s="346">
        <f t="shared" si="189"/>
        <v>374.399313</v>
      </c>
      <c r="Q178" s="350"/>
      <c r="S178" s="319" t="s">
        <v>415</v>
      </c>
      <c r="T178" s="351" t="s">
        <v>405</v>
      </c>
      <c r="U178" s="321"/>
      <c r="V178" s="321"/>
      <c r="W178" s="345" t="s">
        <v>566</v>
      </c>
      <c r="X178" s="346"/>
      <c r="Y178" s="347">
        <v>6.0</v>
      </c>
      <c r="Z178" s="348">
        <v>509.025</v>
      </c>
      <c r="AA178" s="348">
        <f t="shared" si="190"/>
        <v>510.9875</v>
      </c>
      <c r="AB178" s="349">
        <f t="shared" si="191"/>
        <v>1.9625</v>
      </c>
      <c r="AC178" s="347">
        <v>-411.4</v>
      </c>
      <c r="AD178" s="347">
        <v>-388.6</v>
      </c>
      <c r="AE178" s="346">
        <f t="shared" si="192"/>
        <v>22.8</v>
      </c>
      <c r="AF178" s="347">
        <v>508.4</v>
      </c>
      <c r="AG178" s="347">
        <v>508.4</v>
      </c>
      <c r="AH178" s="346">
        <f t="shared" si="193"/>
        <v>1016.8</v>
      </c>
      <c r="AI178" s="346">
        <f t="shared" si="194"/>
        <v>0.045496716</v>
      </c>
      <c r="AJ178" s="347">
        <v>7820.0</v>
      </c>
      <c r="AK178" s="346">
        <f t="shared" si="195"/>
        <v>355.7843191</v>
      </c>
      <c r="AL178" s="350"/>
      <c r="AM178" s="158"/>
      <c r="AN178" s="158"/>
      <c r="AO178" s="158"/>
    </row>
    <row r="179">
      <c r="B179" s="352"/>
      <c r="C179" s="346"/>
      <c r="D179" s="347" t="s">
        <v>294</v>
      </c>
      <c r="E179" s="346"/>
      <c r="F179" s="346"/>
      <c r="G179" s="346"/>
      <c r="H179" s="346"/>
      <c r="I179" s="346"/>
      <c r="J179" s="346"/>
      <c r="K179" s="346"/>
      <c r="L179" s="346"/>
      <c r="M179" s="346"/>
      <c r="N179" s="346">
        <f>SUM(N173:N178)</f>
        <v>0.2872629</v>
      </c>
      <c r="O179" s="346"/>
      <c r="P179" s="346">
        <f>SUM(P173:P178)</f>
        <v>2246.395878</v>
      </c>
      <c r="Q179" s="350"/>
      <c r="S179" s="321"/>
      <c r="T179" s="321"/>
      <c r="U179" s="321"/>
      <c r="V179" s="321"/>
      <c r="W179" s="352"/>
      <c r="X179" s="346"/>
      <c r="Y179" s="347" t="s">
        <v>294</v>
      </c>
      <c r="Z179" s="346"/>
      <c r="AA179" s="346"/>
      <c r="AB179" s="346"/>
      <c r="AC179" s="346"/>
      <c r="AD179" s="346"/>
      <c r="AE179" s="346"/>
      <c r="AF179" s="346"/>
      <c r="AG179" s="346"/>
      <c r="AH179" s="346"/>
      <c r="AI179" s="346">
        <f>SUM(AI173:AI178)</f>
        <v>0.272980296</v>
      </c>
      <c r="AJ179" s="346"/>
      <c r="AK179" s="346">
        <f>SUM(AK173:AK178)</f>
        <v>2134.705915</v>
      </c>
      <c r="AL179" s="350"/>
      <c r="AM179" s="158">
        <f>AI179+N179</f>
        <v>0.560243196</v>
      </c>
      <c r="AN179" s="158"/>
      <c r="AO179" s="158"/>
    </row>
    <row r="180">
      <c r="B180" s="352"/>
      <c r="C180" s="346"/>
      <c r="D180" s="346"/>
      <c r="E180" s="346"/>
      <c r="F180" s="346"/>
      <c r="G180" s="346"/>
      <c r="H180" s="346"/>
      <c r="I180" s="346"/>
      <c r="J180" s="346"/>
      <c r="K180" s="346"/>
      <c r="L180" s="346"/>
      <c r="M180" s="346"/>
      <c r="N180" s="346"/>
      <c r="O180" s="346"/>
      <c r="P180" s="346">
        <f>P179/1000</f>
        <v>2.246395878</v>
      </c>
      <c r="Q180" s="353" t="s">
        <v>371</v>
      </c>
      <c r="S180" s="321"/>
      <c r="T180" s="321"/>
      <c r="U180" s="321"/>
      <c r="V180" s="321"/>
      <c r="W180" s="352"/>
      <c r="X180" s="346"/>
      <c r="Y180" s="346"/>
      <c r="Z180" s="346"/>
      <c r="AA180" s="346"/>
      <c r="AB180" s="346"/>
      <c r="AC180" s="346"/>
      <c r="AD180" s="346"/>
      <c r="AE180" s="346"/>
      <c r="AF180" s="346"/>
      <c r="AG180" s="346"/>
      <c r="AH180" s="346"/>
      <c r="AI180" s="346"/>
      <c r="AJ180" s="346"/>
      <c r="AK180" s="346">
        <f>AK179/1000</f>
        <v>2.134705915</v>
      </c>
      <c r="AL180" s="353" t="s">
        <v>371</v>
      </c>
      <c r="AM180" s="307"/>
      <c r="AN180" s="307"/>
      <c r="AO180" s="307"/>
    </row>
    <row r="181">
      <c r="B181" s="352"/>
      <c r="C181" s="346"/>
      <c r="D181" s="346"/>
      <c r="E181" s="346"/>
      <c r="F181" s="346"/>
      <c r="G181" s="346"/>
      <c r="H181" s="346"/>
      <c r="I181" s="346"/>
      <c r="J181" s="346"/>
      <c r="K181" s="346"/>
      <c r="L181" s="346"/>
      <c r="M181" s="346"/>
      <c r="N181" s="346"/>
      <c r="O181" s="346"/>
      <c r="P181" s="346"/>
      <c r="Q181" s="353"/>
      <c r="S181" s="321"/>
      <c r="T181" s="321"/>
      <c r="U181" s="321"/>
      <c r="V181" s="321"/>
      <c r="W181" s="352"/>
      <c r="X181" s="346"/>
      <c r="Y181" s="346"/>
      <c r="Z181" s="346"/>
      <c r="AA181" s="346"/>
      <c r="AB181" s="346"/>
      <c r="AC181" s="346"/>
      <c r="AD181" s="346"/>
      <c r="AE181" s="346"/>
      <c r="AF181" s="346"/>
      <c r="AG181" s="346"/>
      <c r="AH181" s="346"/>
      <c r="AI181" s="346"/>
      <c r="AJ181" s="346"/>
      <c r="AK181" s="346"/>
      <c r="AL181" s="353"/>
      <c r="AM181" s="307"/>
      <c r="AN181" s="307"/>
      <c r="AO181" s="307"/>
    </row>
    <row r="182">
      <c r="B182" s="354" t="s">
        <v>330</v>
      </c>
      <c r="C182" s="347" t="s">
        <v>416</v>
      </c>
      <c r="D182" s="362" t="s">
        <v>506</v>
      </c>
      <c r="E182" s="347" t="s">
        <v>333</v>
      </c>
      <c r="F182" s="347" t="s">
        <v>334</v>
      </c>
      <c r="G182" s="347" t="s">
        <v>335</v>
      </c>
      <c r="H182" s="347" t="s">
        <v>336</v>
      </c>
      <c r="I182" s="347" t="s">
        <v>337</v>
      </c>
      <c r="J182" s="347" t="s">
        <v>338</v>
      </c>
      <c r="K182" s="347" t="s">
        <v>339</v>
      </c>
      <c r="L182" s="347" t="s">
        <v>340</v>
      </c>
      <c r="M182" s="347" t="s">
        <v>341</v>
      </c>
      <c r="N182" s="347" t="s">
        <v>235</v>
      </c>
      <c r="O182" s="347" t="s">
        <v>342</v>
      </c>
      <c r="P182" s="347" t="s">
        <v>229</v>
      </c>
      <c r="Q182" s="350"/>
      <c r="S182" s="321"/>
      <c r="T182" s="321"/>
      <c r="U182" s="321"/>
      <c r="V182" s="321"/>
      <c r="W182" s="354" t="s">
        <v>330</v>
      </c>
      <c r="X182" s="347" t="s">
        <v>416</v>
      </c>
      <c r="Y182" s="362" t="s">
        <v>506</v>
      </c>
      <c r="Z182" s="347" t="s">
        <v>333</v>
      </c>
      <c r="AA182" s="347" t="s">
        <v>334</v>
      </c>
      <c r="AB182" s="347" t="s">
        <v>335</v>
      </c>
      <c r="AC182" s="347" t="s">
        <v>336</v>
      </c>
      <c r="AD182" s="347" t="s">
        <v>337</v>
      </c>
      <c r="AE182" s="347" t="s">
        <v>338</v>
      </c>
      <c r="AF182" s="347" t="s">
        <v>339</v>
      </c>
      <c r="AG182" s="347" t="s">
        <v>340</v>
      </c>
      <c r="AH182" s="347" t="s">
        <v>341</v>
      </c>
      <c r="AI182" s="347" t="s">
        <v>235</v>
      </c>
      <c r="AJ182" s="347" t="s">
        <v>342</v>
      </c>
      <c r="AK182" s="347" t="s">
        <v>229</v>
      </c>
      <c r="AL182" s="350"/>
      <c r="AM182" s="158"/>
      <c r="AN182" s="158"/>
      <c r="AO182" s="158"/>
    </row>
    <row r="183">
      <c r="B183" s="345" t="s">
        <v>567</v>
      </c>
      <c r="C183" s="346"/>
      <c r="D183" s="347">
        <v>1.0</v>
      </c>
      <c r="E183" s="348">
        <v>509.025</v>
      </c>
      <c r="F183" s="348">
        <v>510.9875</v>
      </c>
      <c r="G183" s="349">
        <f t="shared" ref="G183:G188" si="196">F183-E183</f>
        <v>1.9625</v>
      </c>
      <c r="H183" s="347">
        <v>-535.0</v>
      </c>
      <c r="I183" s="347">
        <v>535.0</v>
      </c>
      <c r="J183" s="346">
        <f t="shared" ref="J183:J188" si="197">I183-H183</f>
        <v>1070</v>
      </c>
      <c r="K183" s="347">
        <v>388.6</v>
      </c>
      <c r="L183" s="347">
        <v>411.4</v>
      </c>
      <c r="M183" s="346">
        <f t="shared" ref="M183:M188" si="198">L183-K183</f>
        <v>22.8</v>
      </c>
      <c r="N183" s="346">
        <f t="shared" ref="N183:N188" si="199">(G183*J183*M183)/1000000</f>
        <v>0.04787715</v>
      </c>
      <c r="O183" s="347">
        <v>7820.0</v>
      </c>
      <c r="P183" s="346">
        <f t="shared" ref="P183:P188" si="200">N183*O183</f>
        <v>374.399313</v>
      </c>
      <c r="Q183" s="350"/>
      <c r="S183" s="319" t="s">
        <v>418</v>
      </c>
      <c r="T183" s="319" t="s">
        <v>419</v>
      </c>
      <c r="W183" s="345" t="s">
        <v>568</v>
      </c>
      <c r="X183" s="346"/>
      <c r="Y183" s="347">
        <v>1.0</v>
      </c>
      <c r="Z183" s="348">
        <f t="shared" ref="Z183:Z188" si="201">AA183+1.9625</f>
        <v>510.9875</v>
      </c>
      <c r="AA183" s="348">
        <v>509.025</v>
      </c>
      <c r="AB183" s="349">
        <f t="shared" ref="AB183:AB188" si="202">Z183-AA183</f>
        <v>1.9625</v>
      </c>
      <c r="AC183" s="347">
        <v>388.6</v>
      </c>
      <c r="AD183" s="347">
        <v>411.4</v>
      </c>
      <c r="AE183" s="346">
        <f t="shared" ref="AE183:AE188" si="203">AD183-AC183</f>
        <v>22.8</v>
      </c>
      <c r="AF183" s="347">
        <v>508.4</v>
      </c>
      <c r="AG183" s="347">
        <v>508.4</v>
      </c>
      <c r="AH183" s="346">
        <f t="shared" ref="AH183:AH188" si="204">AG183+AF183</f>
        <v>1016.8</v>
      </c>
      <c r="AI183" s="346">
        <f t="shared" ref="AI183:AI188" si="205">(AB183*AE183*AH183)/1000000</f>
        <v>0.045496716</v>
      </c>
      <c r="AJ183" s="347">
        <v>7820.0</v>
      </c>
      <c r="AK183" s="346">
        <f t="shared" ref="AK183:AK188" si="206">AI183*AJ183</f>
        <v>355.7843191</v>
      </c>
      <c r="AL183" s="350"/>
      <c r="AM183" s="158"/>
      <c r="AN183" s="158"/>
      <c r="AO183" s="158"/>
    </row>
    <row r="184">
      <c r="B184" s="345" t="s">
        <v>569</v>
      </c>
      <c r="C184" s="346"/>
      <c r="D184" s="347">
        <v>2.0</v>
      </c>
      <c r="E184" s="348">
        <v>509.025</v>
      </c>
      <c r="F184" s="348">
        <v>510.9875</v>
      </c>
      <c r="G184" s="349">
        <f t="shared" si="196"/>
        <v>1.9625</v>
      </c>
      <c r="H184" s="347">
        <v>-535.0</v>
      </c>
      <c r="I184" s="347">
        <v>535.0</v>
      </c>
      <c r="J184" s="346">
        <f t="shared" si="197"/>
        <v>1070</v>
      </c>
      <c r="K184" s="347">
        <v>228.6</v>
      </c>
      <c r="L184" s="347">
        <v>251.4</v>
      </c>
      <c r="M184" s="346">
        <f t="shared" si="198"/>
        <v>22.8</v>
      </c>
      <c r="N184" s="346">
        <f t="shared" si="199"/>
        <v>0.04787715</v>
      </c>
      <c r="O184" s="347">
        <v>7820.0</v>
      </c>
      <c r="P184" s="346">
        <f t="shared" si="200"/>
        <v>374.399313</v>
      </c>
      <c r="Q184" s="350"/>
      <c r="S184" s="319" t="s">
        <v>421</v>
      </c>
      <c r="T184" s="319" t="s">
        <v>419</v>
      </c>
      <c r="W184" s="345" t="s">
        <v>570</v>
      </c>
      <c r="X184" s="346"/>
      <c r="Y184" s="347">
        <v>2.0</v>
      </c>
      <c r="Z184" s="348">
        <f t="shared" si="201"/>
        <v>510.9875</v>
      </c>
      <c r="AA184" s="348">
        <v>509.025</v>
      </c>
      <c r="AB184" s="349">
        <f t="shared" si="202"/>
        <v>1.9625</v>
      </c>
      <c r="AC184" s="347">
        <v>228.6</v>
      </c>
      <c r="AD184" s="347">
        <v>251.4</v>
      </c>
      <c r="AE184" s="346">
        <f t="shared" si="203"/>
        <v>22.8</v>
      </c>
      <c r="AF184" s="347">
        <v>508.4</v>
      </c>
      <c r="AG184" s="347">
        <v>508.4</v>
      </c>
      <c r="AH184" s="346">
        <f t="shared" si="204"/>
        <v>1016.8</v>
      </c>
      <c r="AI184" s="346">
        <f t="shared" si="205"/>
        <v>0.045496716</v>
      </c>
      <c r="AJ184" s="347">
        <v>7820.0</v>
      </c>
      <c r="AK184" s="346">
        <f t="shared" si="206"/>
        <v>355.7843191</v>
      </c>
      <c r="AL184" s="350"/>
      <c r="AM184" s="158"/>
      <c r="AN184" s="158"/>
      <c r="AO184" s="158"/>
    </row>
    <row r="185">
      <c r="B185" s="345" t="s">
        <v>571</v>
      </c>
      <c r="C185" s="346"/>
      <c r="D185" s="347">
        <v>3.0</v>
      </c>
      <c r="E185" s="348">
        <v>509.025</v>
      </c>
      <c r="F185" s="348">
        <v>510.9875</v>
      </c>
      <c r="G185" s="349">
        <f t="shared" si="196"/>
        <v>1.9625</v>
      </c>
      <c r="H185" s="347">
        <v>-535.0</v>
      </c>
      <c r="I185" s="347">
        <v>535.0</v>
      </c>
      <c r="J185" s="346">
        <f t="shared" si="197"/>
        <v>1070</v>
      </c>
      <c r="K185" s="347">
        <v>68.6</v>
      </c>
      <c r="L185" s="347">
        <v>91.4</v>
      </c>
      <c r="M185" s="346">
        <f t="shared" si="198"/>
        <v>22.8</v>
      </c>
      <c r="N185" s="346">
        <f t="shared" si="199"/>
        <v>0.04787715</v>
      </c>
      <c r="O185" s="347">
        <v>7820.0</v>
      </c>
      <c r="P185" s="346">
        <f t="shared" si="200"/>
        <v>374.399313</v>
      </c>
      <c r="Q185" s="350"/>
      <c r="S185" s="319" t="s">
        <v>423</v>
      </c>
      <c r="T185" s="319" t="s">
        <v>419</v>
      </c>
      <c r="W185" s="345" t="s">
        <v>572</v>
      </c>
      <c r="X185" s="346"/>
      <c r="Y185" s="347">
        <v>3.0</v>
      </c>
      <c r="Z185" s="348">
        <f t="shared" si="201"/>
        <v>510.9875</v>
      </c>
      <c r="AA185" s="348">
        <v>509.025</v>
      </c>
      <c r="AB185" s="349">
        <f t="shared" si="202"/>
        <v>1.9625</v>
      </c>
      <c r="AC185" s="347">
        <v>68.6</v>
      </c>
      <c r="AD185" s="347">
        <v>91.4</v>
      </c>
      <c r="AE185" s="346">
        <f t="shared" si="203"/>
        <v>22.8</v>
      </c>
      <c r="AF185" s="347">
        <v>508.4</v>
      </c>
      <c r="AG185" s="347">
        <v>508.4</v>
      </c>
      <c r="AH185" s="346">
        <f t="shared" si="204"/>
        <v>1016.8</v>
      </c>
      <c r="AI185" s="346">
        <f t="shared" si="205"/>
        <v>0.045496716</v>
      </c>
      <c r="AJ185" s="347">
        <v>7820.0</v>
      </c>
      <c r="AK185" s="346">
        <f t="shared" si="206"/>
        <v>355.7843191</v>
      </c>
      <c r="AL185" s="350"/>
      <c r="AM185" s="158"/>
      <c r="AN185" s="158"/>
      <c r="AO185" s="158"/>
    </row>
    <row r="186">
      <c r="B186" s="345" t="s">
        <v>573</v>
      </c>
      <c r="C186" s="346"/>
      <c r="D186" s="347">
        <v>4.0</v>
      </c>
      <c r="E186" s="348">
        <v>509.025</v>
      </c>
      <c r="F186" s="348">
        <v>510.9875</v>
      </c>
      <c r="G186" s="349">
        <f t="shared" si="196"/>
        <v>1.9625</v>
      </c>
      <c r="H186" s="347">
        <v>-535.0</v>
      </c>
      <c r="I186" s="347">
        <v>535.0</v>
      </c>
      <c r="J186" s="346">
        <f t="shared" si="197"/>
        <v>1070</v>
      </c>
      <c r="K186" s="347">
        <v>-91.4</v>
      </c>
      <c r="L186" s="347">
        <v>-68.6</v>
      </c>
      <c r="M186" s="346">
        <f t="shared" si="198"/>
        <v>22.8</v>
      </c>
      <c r="N186" s="346">
        <f t="shared" si="199"/>
        <v>0.04787715</v>
      </c>
      <c r="O186" s="347">
        <v>7820.0</v>
      </c>
      <c r="P186" s="346">
        <f t="shared" si="200"/>
        <v>374.399313</v>
      </c>
      <c r="Q186" s="350"/>
      <c r="S186" s="319" t="s">
        <v>425</v>
      </c>
      <c r="T186" s="319" t="s">
        <v>419</v>
      </c>
      <c r="W186" s="345" t="s">
        <v>574</v>
      </c>
      <c r="X186" s="346"/>
      <c r="Y186" s="347">
        <v>4.0</v>
      </c>
      <c r="Z186" s="348">
        <f t="shared" si="201"/>
        <v>510.9875</v>
      </c>
      <c r="AA186" s="348">
        <v>509.025</v>
      </c>
      <c r="AB186" s="349">
        <f t="shared" si="202"/>
        <v>1.9625</v>
      </c>
      <c r="AC186" s="347">
        <v>-91.4</v>
      </c>
      <c r="AD186" s="347">
        <v>-68.6</v>
      </c>
      <c r="AE186" s="346">
        <f t="shared" si="203"/>
        <v>22.8</v>
      </c>
      <c r="AF186" s="347">
        <v>508.4</v>
      </c>
      <c r="AG186" s="347">
        <v>508.4</v>
      </c>
      <c r="AH186" s="346">
        <f t="shared" si="204"/>
        <v>1016.8</v>
      </c>
      <c r="AI186" s="346">
        <f t="shared" si="205"/>
        <v>0.045496716</v>
      </c>
      <c r="AJ186" s="347">
        <v>7820.0</v>
      </c>
      <c r="AK186" s="346">
        <f t="shared" si="206"/>
        <v>355.7843191</v>
      </c>
      <c r="AL186" s="350"/>
      <c r="AM186" s="158"/>
      <c r="AN186" s="158"/>
      <c r="AO186" s="158"/>
    </row>
    <row r="187">
      <c r="B187" s="345" t="s">
        <v>575</v>
      </c>
      <c r="C187" s="346"/>
      <c r="D187" s="347">
        <v>5.0</v>
      </c>
      <c r="E187" s="348">
        <v>509.025</v>
      </c>
      <c r="F187" s="348">
        <v>510.9875</v>
      </c>
      <c r="G187" s="349">
        <f t="shared" si="196"/>
        <v>1.9625</v>
      </c>
      <c r="H187" s="347">
        <v>-535.0</v>
      </c>
      <c r="I187" s="347">
        <v>535.0</v>
      </c>
      <c r="J187" s="346">
        <f t="shared" si="197"/>
        <v>1070</v>
      </c>
      <c r="K187" s="347">
        <v>-251.4</v>
      </c>
      <c r="L187" s="347">
        <v>-228.6</v>
      </c>
      <c r="M187" s="346">
        <f t="shared" si="198"/>
        <v>22.8</v>
      </c>
      <c r="N187" s="346">
        <f t="shared" si="199"/>
        <v>0.04787715</v>
      </c>
      <c r="O187" s="347">
        <v>7820.0</v>
      </c>
      <c r="P187" s="346">
        <f t="shared" si="200"/>
        <v>374.399313</v>
      </c>
      <c r="Q187" s="350"/>
      <c r="S187" s="319" t="s">
        <v>427</v>
      </c>
      <c r="T187" s="319" t="s">
        <v>419</v>
      </c>
      <c r="W187" s="345" t="s">
        <v>576</v>
      </c>
      <c r="X187" s="346"/>
      <c r="Y187" s="347">
        <v>5.0</v>
      </c>
      <c r="Z187" s="348">
        <f t="shared" si="201"/>
        <v>510.9875</v>
      </c>
      <c r="AA187" s="348">
        <v>509.025</v>
      </c>
      <c r="AB187" s="349">
        <f t="shared" si="202"/>
        <v>1.9625</v>
      </c>
      <c r="AC187" s="347">
        <v>-251.4</v>
      </c>
      <c r="AD187" s="347">
        <v>-228.6</v>
      </c>
      <c r="AE187" s="346">
        <f t="shared" si="203"/>
        <v>22.8</v>
      </c>
      <c r="AF187" s="347">
        <v>508.4</v>
      </c>
      <c r="AG187" s="347">
        <v>508.4</v>
      </c>
      <c r="AH187" s="346">
        <f t="shared" si="204"/>
        <v>1016.8</v>
      </c>
      <c r="AI187" s="346">
        <f t="shared" si="205"/>
        <v>0.045496716</v>
      </c>
      <c r="AJ187" s="347">
        <v>7820.0</v>
      </c>
      <c r="AK187" s="346">
        <f t="shared" si="206"/>
        <v>355.7843191</v>
      </c>
      <c r="AL187" s="350"/>
      <c r="AM187" s="158"/>
      <c r="AN187" s="158"/>
      <c r="AO187" s="158"/>
    </row>
    <row r="188">
      <c r="B188" s="345" t="s">
        <v>577</v>
      </c>
      <c r="C188" s="346"/>
      <c r="D188" s="347">
        <v>6.0</v>
      </c>
      <c r="E188" s="348">
        <v>509.025</v>
      </c>
      <c r="F188" s="348">
        <v>510.9875</v>
      </c>
      <c r="G188" s="349">
        <f t="shared" si="196"/>
        <v>1.9625</v>
      </c>
      <c r="H188" s="347">
        <v>-535.0</v>
      </c>
      <c r="I188" s="347">
        <v>535.0</v>
      </c>
      <c r="J188" s="346">
        <f t="shared" si="197"/>
        <v>1070</v>
      </c>
      <c r="K188" s="347">
        <v>-411.4</v>
      </c>
      <c r="L188" s="347">
        <v>-388.6</v>
      </c>
      <c r="M188" s="346">
        <f t="shared" si="198"/>
        <v>22.8</v>
      </c>
      <c r="N188" s="346">
        <f t="shared" si="199"/>
        <v>0.04787715</v>
      </c>
      <c r="O188" s="347">
        <v>7820.0</v>
      </c>
      <c r="P188" s="346">
        <f t="shared" si="200"/>
        <v>374.399313</v>
      </c>
      <c r="Q188" s="350"/>
      <c r="S188" s="319" t="s">
        <v>429</v>
      </c>
      <c r="T188" s="319" t="s">
        <v>419</v>
      </c>
      <c r="W188" s="345" t="s">
        <v>578</v>
      </c>
      <c r="X188" s="346"/>
      <c r="Y188" s="347">
        <v>6.0</v>
      </c>
      <c r="Z188" s="348">
        <f t="shared" si="201"/>
        <v>510.9875</v>
      </c>
      <c r="AA188" s="348">
        <v>509.025</v>
      </c>
      <c r="AB188" s="349">
        <f t="shared" si="202"/>
        <v>1.9625</v>
      </c>
      <c r="AC188" s="347">
        <v>-411.4</v>
      </c>
      <c r="AD188" s="347">
        <v>-388.6</v>
      </c>
      <c r="AE188" s="346">
        <f t="shared" si="203"/>
        <v>22.8</v>
      </c>
      <c r="AF188" s="347">
        <v>508.4</v>
      </c>
      <c r="AG188" s="347">
        <v>508.4</v>
      </c>
      <c r="AH188" s="346">
        <f t="shared" si="204"/>
        <v>1016.8</v>
      </c>
      <c r="AI188" s="346">
        <f t="shared" si="205"/>
        <v>0.045496716</v>
      </c>
      <c r="AJ188" s="347">
        <v>7820.0</v>
      </c>
      <c r="AK188" s="346">
        <f t="shared" si="206"/>
        <v>355.7843191</v>
      </c>
      <c r="AL188" s="350"/>
      <c r="AM188" s="158"/>
      <c r="AN188" s="158"/>
      <c r="AO188" s="158"/>
    </row>
    <row r="189">
      <c r="B189" s="352"/>
      <c r="C189" s="346"/>
      <c r="D189" s="347" t="s">
        <v>294</v>
      </c>
      <c r="E189" s="346"/>
      <c r="F189" s="346"/>
      <c r="G189" s="346"/>
      <c r="H189" s="346"/>
      <c r="I189" s="346"/>
      <c r="J189" s="346"/>
      <c r="K189" s="346"/>
      <c r="L189" s="346"/>
      <c r="M189" s="346"/>
      <c r="N189" s="346">
        <f>SUM(N183:N188)</f>
        <v>0.2872629</v>
      </c>
      <c r="O189" s="346"/>
      <c r="P189" s="346">
        <f>SUM(P183:P188)</f>
        <v>2246.395878</v>
      </c>
      <c r="Q189" s="350"/>
      <c r="S189" s="321"/>
      <c r="T189" s="321"/>
      <c r="U189" s="321"/>
      <c r="V189" s="321"/>
      <c r="W189" s="352"/>
      <c r="X189" s="346"/>
      <c r="Y189" s="347" t="s">
        <v>294</v>
      </c>
      <c r="Z189" s="346"/>
      <c r="AA189" s="346"/>
      <c r="AB189" s="346"/>
      <c r="AC189" s="346"/>
      <c r="AD189" s="346"/>
      <c r="AE189" s="346"/>
      <c r="AF189" s="346"/>
      <c r="AG189" s="346"/>
      <c r="AH189" s="346"/>
      <c r="AI189" s="346">
        <f>SUM(AI183:AI188)</f>
        <v>0.272980296</v>
      </c>
      <c r="AJ189" s="346"/>
      <c r="AK189" s="346">
        <f>SUM(AK183:AK188)</f>
        <v>2134.705915</v>
      </c>
      <c r="AL189" s="350"/>
      <c r="AM189" s="158">
        <f>N189+AI189</f>
        <v>0.560243196</v>
      </c>
      <c r="AN189" s="158"/>
      <c r="AO189" s="158"/>
    </row>
    <row r="190">
      <c r="B190" s="355"/>
      <c r="C190" s="356"/>
      <c r="D190" s="356"/>
      <c r="E190" s="356"/>
      <c r="F190" s="356"/>
      <c r="G190" s="356"/>
      <c r="H190" s="356"/>
      <c r="I190" s="356"/>
      <c r="J190" s="356"/>
      <c r="K190" s="356"/>
      <c r="L190" s="356"/>
      <c r="M190" s="356"/>
      <c r="N190" s="356"/>
      <c r="O190" s="356"/>
      <c r="P190" s="356">
        <f>P189/1000</f>
        <v>2.246395878</v>
      </c>
      <c r="Q190" s="357" t="s">
        <v>371</v>
      </c>
      <c r="S190" s="321"/>
      <c r="T190" s="321"/>
      <c r="U190" s="321"/>
      <c r="V190" s="321"/>
      <c r="W190" s="355"/>
      <c r="X190" s="356"/>
      <c r="Y190" s="356"/>
      <c r="Z190" s="356"/>
      <c r="AA190" s="356"/>
      <c r="AB190" s="356"/>
      <c r="AC190" s="356"/>
      <c r="AD190" s="356"/>
      <c r="AE190" s="356"/>
      <c r="AF190" s="356"/>
      <c r="AG190" s="356"/>
      <c r="AH190" s="356"/>
      <c r="AI190" s="356"/>
      <c r="AJ190" s="356"/>
      <c r="AK190" s="356">
        <f>AK189/1000</f>
        <v>2.134705915</v>
      </c>
      <c r="AL190" s="357" t="s">
        <v>371</v>
      </c>
      <c r="AM190" s="307"/>
      <c r="AN190" s="307"/>
      <c r="AO190" s="307"/>
    </row>
    <row r="191">
      <c r="AM191" s="158"/>
      <c r="AN191" s="158"/>
      <c r="AO191" s="158"/>
    </row>
    <row r="192">
      <c r="AM192" s="158"/>
      <c r="AN192" s="158"/>
      <c r="AO192" s="158"/>
    </row>
    <row r="193">
      <c r="AM193" s="158"/>
      <c r="AN193" s="158"/>
      <c r="AO193" s="158"/>
    </row>
    <row r="194">
      <c r="D194" s="365" t="s">
        <v>579</v>
      </c>
      <c r="F194" s="149"/>
      <c r="P194" s="149" t="s">
        <v>580</v>
      </c>
      <c r="AM194" s="158"/>
      <c r="AN194" s="158"/>
      <c r="AO194" s="158"/>
    </row>
    <row r="195">
      <c r="D195" s="2">
        <f>SUM(P76,P86,P96,P106,P116,P126,AK126,AK116,AK106,AK96,AK76,AK86)</f>
        <v>26.84170148</v>
      </c>
      <c r="P195" s="147">
        <f>SUM(D195,D197,D200)</f>
        <v>165.3136871</v>
      </c>
      <c r="AM195" s="158"/>
      <c r="AN195" s="158"/>
      <c r="AO195" s="158"/>
    </row>
    <row r="196">
      <c r="D196" s="365" t="s">
        <v>581</v>
      </c>
      <c r="AM196" s="158"/>
      <c r="AN196" s="158"/>
      <c r="AO196" s="158"/>
    </row>
    <row r="197">
      <c r="D197" s="2">
        <f>SUM(P150,P140,P160,P170,P180,P190,AK190,AK180,AK170,AK160,AK150,AK140)</f>
        <v>26.84170148</v>
      </c>
      <c r="AM197" s="158"/>
      <c r="AN197" s="158"/>
      <c r="AO197" s="158"/>
    </row>
    <row r="198">
      <c r="D198" s="2"/>
      <c r="T198" s="147">
        <f>395.12+80</f>
        <v>475.12</v>
      </c>
      <c r="AM198" s="158"/>
      <c r="AN198" s="158"/>
      <c r="AO198" s="158"/>
    </row>
    <row r="199">
      <c r="D199" s="151" t="s">
        <v>582</v>
      </c>
      <c r="AM199" s="158"/>
      <c r="AN199" s="158"/>
      <c r="AO199" s="158"/>
    </row>
    <row r="200">
      <c r="D200" s="366">
        <f>SUM(P11,P21,P31,P41,P51,P61,AK11,AK21,AK31,AK41,AK51,AK61)</f>
        <v>111.6302842</v>
      </c>
      <c r="P200" s="147">
        <f>P207*7820</f>
        <v>165313.6871</v>
      </c>
      <c r="AM200" s="158"/>
      <c r="AN200" s="158"/>
      <c r="AO200" s="158"/>
    </row>
    <row r="201">
      <c r="D201" s="2"/>
      <c r="P201" s="147">
        <f>P200/1000</f>
        <v>165.3136871</v>
      </c>
      <c r="AM201" s="158"/>
      <c r="AN201" s="158"/>
      <c r="AO201" s="158"/>
    </row>
    <row r="202">
      <c r="D202" s="2"/>
      <c r="AM202" s="158"/>
      <c r="AN202" s="158"/>
      <c r="AO202" s="158"/>
    </row>
    <row r="203">
      <c r="D203" s="2"/>
      <c r="AM203" s="158"/>
      <c r="AN203" s="158"/>
      <c r="AO203" s="158"/>
    </row>
    <row r="204">
      <c r="D204" s="2"/>
      <c r="AM204" s="158"/>
      <c r="AN204" s="158"/>
      <c r="AO204" s="158"/>
    </row>
    <row r="205">
      <c r="D205" s="2"/>
      <c r="AM205" s="158"/>
      <c r="AN205" s="158"/>
      <c r="AO205" s="158"/>
    </row>
    <row r="206">
      <c r="D206" s="365" t="s">
        <v>583</v>
      </c>
      <c r="P206" s="149" t="s">
        <v>584</v>
      </c>
      <c r="AM206" s="158"/>
      <c r="AN206" s="158"/>
      <c r="AO206" s="158"/>
    </row>
    <row r="207">
      <c r="D207" s="366">
        <f>SUM(N10,N20,N30,N40,N50,N60,AI10,AI20,AI30,AI40,AI50,AI60)</f>
        <v>14.2749724</v>
      </c>
      <c r="E207" s="147">
        <f>D207+P208</f>
        <v>14.2749724</v>
      </c>
      <c r="P207" s="147">
        <f>SUM(D207,D209,D211)</f>
        <v>21.13985769</v>
      </c>
      <c r="R207" s="44">
        <v>21.124</v>
      </c>
      <c r="AM207" s="158"/>
      <c r="AN207" s="158"/>
      <c r="AO207" s="158"/>
    </row>
    <row r="208">
      <c r="D208" s="365" t="s">
        <v>585</v>
      </c>
      <c r="AM208" s="158"/>
      <c r="AN208" s="158"/>
      <c r="AO208" s="158"/>
    </row>
    <row r="209">
      <c r="D209" s="2">
        <f>SUM(N75,N85,N95,N105,N115,N125,AI125,AI115,AI105,AI95,AI85,AI75)</f>
        <v>3.432442644</v>
      </c>
      <c r="AM209" s="158"/>
      <c r="AN209" s="158"/>
      <c r="AO209" s="158"/>
    </row>
    <row r="210">
      <c r="D210" s="365" t="s">
        <v>586</v>
      </c>
      <c r="AM210" s="158"/>
      <c r="AN210" s="158"/>
      <c r="AO210" s="158"/>
    </row>
    <row r="211">
      <c r="D211" s="2">
        <f>SUM(N75,N85,N159,N169,N179,N189,AI189,AI179,AI169,AI159,AI149,AI139)</f>
        <v>3.432442644</v>
      </c>
      <c r="AM211" s="158"/>
      <c r="AN211" s="158"/>
      <c r="AO211" s="158"/>
    </row>
    <row r="212">
      <c r="AM212" s="158"/>
      <c r="AN212" s="158"/>
      <c r="AO212" s="158"/>
    </row>
    <row r="213">
      <c r="AM213" s="158"/>
      <c r="AN213" s="158"/>
      <c r="AO213" s="158"/>
    </row>
    <row r="214">
      <c r="AM214" s="158"/>
      <c r="AN214" s="158"/>
      <c r="AO214" s="158"/>
    </row>
    <row r="215">
      <c r="AM215" s="158"/>
      <c r="AN215" s="158"/>
      <c r="AO215" s="158"/>
    </row>
    <row r="216">
      <c r="AM216" s="158"/>
      <c r="AN216" s="158"/>
      <c r="AO216" s="158"/>
    </row>
    <row r="217">
      <c r="AM217" s="158"/>
      <c r="AN217" s="158"/>
      <c r="AO217" s="158"/>
    </row>
    <row r="218">
      <c r="AM218" s="158"/>
      <c r="AN218" s="158"/>
      <c r="AO218" s="158"/>
    </row>
    <row r="219">
      <c r="AM219" s="158"/>
      <c r="AN219" s="158"/>
      <c r="AO219" s="158"/>
    </row>
    <row r="220">
      <c r="AM220" s="158"/>
      <c r="AN220" s="158"/>
      <c r="AO220" s="158"/>
    </row>
    <row r="221">
      <c r="AM221" s="158"/>
      <c r="AN221" s="158"/>
      <c r="AO221" s="158"/>
    </row>
    <row r="222">
      <c r="AM222" s="158"/>
      <c r="AN222" s="158"/>
      <c r="AO222" s="158"/>
    </row>
    <row r="223">
      <c r="AM223" s="158"/>
      <c r="AN223" s="158"/>
      <c r="AO223" s="158"/>
    </row>
    <row r="224">
      <c r="AM224" s="158"/>
      <c r="AN224" s="158"/>
      <c r="AO224" s="158"/>
    </row>
    <row r="225">
      <c r="AM225" s="158"/>
      <c r="AN225" s="158"/>
      <c r="AO225" s="158"/>
    </row>
    <row r="226">
      <c r="AM226" s="158"/>
      <c r="AN226" s="158"/>
      <c r="AO226" s="158"/>
    </row>
    <row r="227">
      <c r="AM227" s="158"/>
      <c r="AN227" s="158"/>
      <c r="AO227" s="158"/>
    </row>
    <row r="228">
      <c r="AM228" s="158"/>
      <c r="AN228" s="158"/>
      <c r="AO228" s="158"/>
    </row>
    <row r="229">
      <c r="AM229" s="158"/>
      <c r="AN229" s="158"/>
      <c r="AO229" s="158"/>
    </row>
    <row r="230">
      <c r="AM230" s="158"/>
      <c r="AN230" s="158"/>
      <c r="AO230" s="158"/>
    </row>
    <row r="231">
      <c r="AM231" s="158"/>
      <c r="AN231" s="158"/>
      <c r="AO231" s="158"/>
    </row>
    <row r="232">
      <c r="AM232" s="158"/>
      <c r="AN232" s="158"/>
      <c r="AO232" s="158"/>
    </row>
    <row r="233">
      <c r="AM233" s="158"/>
      <c r="AN233" s="158"/>
      <c r="AO233" s="158"/>
    </row>
    <row r="234">
      <c r="AM234" s="158"/>
      <c r="AN234" s="158"/>
      <c r="AO234" s="158"/>
    </row>
    <row r="235">
      <c r="AM235" s="158"/>
      <c r="AN235" s="158"/>
      <c r="AO235" s="158"/>
    </row>
    <row r="236">
      <c r="AM236" s="158"/>
      <c r="AN236" s="158"/>
      <c r="AO236" s="158"/>
    </row>
    <row r="237">
      <c r="AM237" s="158"/>
      <c r="AN237" s="158"/>
      <c r="AO237" s="158"/>
    </row>
    <row r="238">
      <c r="AM238" s="158"/>
      <c r="AN238" s="158"/>
      <c r="AO238" s="158"/>
    </row>
    <row r="239">
      <c r="AM239" s="158"/>
      <c r="AN239" s="158"/>
      <c r="AO239" s="158"/>
    </row>
    <row r="240">
      <c r="AM240" s="158"/>
      <c r="AN240" s="158"/>
      <c r="AO240" s="158"/>
    </row>
    <row r="241">
      <c r="AM241" s="158"/>
      <c r="AN241" s="158"/>
      <c r="AO241" s="158"/>
    </row>
    <row r="242">
      <c r="AM242" s="158"/>
      <c r="AN242" s="158"/>
      <c r="AO242" s="158"/>
    </row>
    <row r="243">
      <c r="AM243" s="158"/>
      <c r="AN243" s="158"/>
      <c r="AO243" s="158"/>
    </row>
    <row r="244">
      <c r="AM244" s="158"/>
      <c r="AN244" s="158"/>
      <c r="AO244" s="158"/>
    </row>
    <row r="245">
      <c r="AM245" s="158"/>
      <c r="AN245" s="158"/>
      <c r="AO245" s="158"/>
    </row>
    <row r="246">
      <c r="AM246" s="158"/>
      <c r="AN246" s="158"/>
      <c r="AO246" s="158"/>
    </row>
    <row r="247">
      <c r="AM247" s="158"/>
      <c r="AN247" s="158"/>
      <c r="AO247" s="158"/>
    </row>
    <row r="248">
      <c r="AM248" s="158"/>
      <c r="AN248" s="158"/>
      <c r="AO248" s="158"/>
    </row>
    <row r="249">
      <c r="AM249" s="158"/>
      <c r="AN249" s="158"/>
      <c r="AO249" s="158"/>
    </row>
    <row r="250">
      <c r="AM250" s="158"/>
      <c r="AN250" s="158"/>
      <c r="AO250" s="158"/>
    </row>
    <row r="251">
      <c r="AM251" s="158"/>
      <c r="AN251" s="158"/>
      <c r="AO251" s="158"/>
    </row>
    <row r="252">
      <c r="AM252" s="158"/>
      <c r="AN252" s="158"/>
      <c r="AO252" s="158"/>
    </row>
    <row r="253">
      <c r="AM253" s="158"/>
      <c r="AN253" s="158"/>
      <c r="AO253" s="158"/>
    </row>
    <row r="254">
      <c r="AM254" s="158"/>
      <c r="AN254" s="158"/>
      <c r="AO254" s="158"/>
    </row>
    <row r="255">
      <c r="AM255" s="158"/>
      <c r="AN255" s="158"/>
      <c r="AO255" s="158"/>
    </row>
    <row r="256">
      <c r="AM256" s="158"/>
      <c r="AN256" s="158"/>
      <c r="AO256" s="158"/>
    </row>
    <row r="257">
      <c r="AM257" s="158"/>
      <c r="AN257" s="158"/>
      <c r="AO257" s="158"/>
    </row>
    <row r="258">
      <c r="AM258" s="158"/>
      <c r="AN258" s="158"/>
      <c r="AO258" s="158"/>
    </row>
    <row r="259">
      <c r="AM259" s="158"/>
      <c r="AN259" s="158"/>
      <c r="AO259" s="158"/>
    </row>
    <row r="260">
      <c r="AM260" s="158"/>
      <c r="AN260" s="158"/>
      <c r="AO260" s="158"/>
    </row>
    <row r="261">
      <c r="AM261" s="158"/>
      <c r="AN261" s="158"/>
      <c r="AO261" s="158"/>
    </row>
    <row r="262">
      <c r="AM262" s="158"/>
      <c r="AN262" s="158"/>
      <c r="AO262" s="158"/>
    </row>
    <row r="263">
      <c r="AM263" s="158"/>
      <c r="AN263" s="158"/>
      <c r="AO263" s="158"/>
    </row>
    <row r="264">
      <c r="AM264" s="158"/>
      <c r="AN264" s="158"/>
      <c r="AO264" s="158"/>
    </row>
    <row r="265">
      <c r="AM265" s="158"/>
      <c r="AN265" s="158"/>
      <c r="AO265" s="158"/>
    </row>
    <row r="266">
      <c r="AM266" s="158"/>
      <c r="AN266" s="158"/>
      <c r="AO266" s="158"/>
    </row>
    <row r="267">
      <c r="AM267" s="158"/>
      <c r="AN267" s="158"/>
      <c r="AO267" s="158"/>
    </row>
    <row r="268">
      <c r="AM268" s="158"/>
      <c r="AN268" s="158"/>
      <c r="AO268" s="158"/>
    </row>
    <row r="269">
      <c r="AM269" s="158"/>
      <c r="AN269" s="158"/>
      <c r="AO269" s="158"/>
    </row>
    <row r="270">
      <c r="AM270" s="158"/>
      <c r="AN270" s="158"/>
      <c r="AO270" s="158"/>
    </row>
    <row r="271">
      <c r="AM271" s="158"/>
      <c r="AN271" s="158"/>
      <c r="AO271" s="158"/>
    </row>
    <row r="272">
      <c r="AM272" s="158"/>
      <c r="AN272" s="158"/>
      <c r="AO272" s="158"/>
    </row>
    <row r="273">
      <c r="AM273" s="158"/>
      <c r="AN273" s="158"/>
      <c r="AO273" s="158"/>
    </row>
    <row r="274">
      <c r="AM274" s="158"/>
      <c r="AN274" s="158"/>
      <c r="AO274" s="158"/>
    </row>
    <row r="275">
      <c r="AM275" s="158"/>
      <c r="AN275" s="158"/>
      <c r="AO275" s="158"/>
    </row>
    <row r="276">
      <c r="AM276" s="158"/>
      <c r="AN276" s="158"/>
      <c r="AO276" s="158"/>
    </row>
    <row r="277">
      <c r="AM277" s="158"/>
      <c r="AN277" s="158"/>
      <c r="AO277" s="158"/>
    </row>
    <row r="278">
      <c r="AM278" s="158"/>
      <c r="AN278" s="158"/>
      <c r="AO278" s="158"/>
    </row>
    <row r="279">
      <c r="AM279" s="158"/>
      <c r="AN279" s="158"/>
      <c r="AO279" s="158"/>
    </row>
    <row r="280">
      <c r="AM280" s="158"/>
      <c r="AN280" s="158"/>
      <c r="AO280" s="158"/>
    </row>
    <row r="281">
      <c r="AM281" s="158"/>
      <c r="AN281" s="158"/>
      <c r="AO281" s="158"/>
    </row>
    <row r="282">
      <c r="AM282" s="158"/>
      <c r="AN282" s="158"/>
      <c r="AO282" s="158"/>
    </row>
    <row r="283">
      <c r="AM283" s="158"/>
      <c r="AN283" s="158"/>
      <c r="AO283" s="158"/>
    </row>
    <row r="284">
      <c r="AM284" s="158"/>
      <c r="AN284" s="158"/>
      <c r="AO284" s="158"/>
    </row>
    <row r="285">
      <c r="AM285" s="158"/>
      <c r="AN285" s="158"/>
      <c r="AO285" s="158"/>
    </row>
    <row r="286">
      <c r="AM286" s="158"/>
      <c r="AN286" s="158"/>
      <c r="AO286" s="158"/>
    </row>
    <row r="287">
      <c r="AM287" s="158"/>
      <c r="AN287" s="158"/>
      <c r="AO287" s="158"/>
    </row>
    <row r="288">
      <c r="AM288" s="158"/>
      <c r="AN288" s="158"/>
      <c r="AO288" s="158"/>
    </row>
    <row r="289">
      <c r="AM289" s="158"/>
      <c r="AN289" s="158"/>
      <c r="AO289" s="158"/>
    </row>
    <row r="290">
      <c r="AM290" s="158"/>
      <c r="AN290" s="158"/>
      <c r="AO290" s="158"/>
    </row>
    <row r="291">
      <c r="AM291" s="158"/>
      <c r="AN291" s="158"/>
      <c r="AO291" s="158"/>
    </row>
    <row r="292">
      <c r="AM292" s="158"/>
      <c r="AN292" s="158"/>
      <c r="AO292" s="158"/>
    </row>
    <row r="293">
      <c r="AM293" s="158"/>
      <c r="AN293" s="158"/>
      <c r="AO293" s="158"/>
    </row>
    <row r="294">
      <c r="AM294" s="158"/>
      <c r="AN294" s="158"/>
      <c r="AO294" s="158"/>
    </row>
    <row r="295">
      <c r="AM295" s="158"/>
      <c r="AN295" s="158"/>
      <c r="AO295" s="158"/>
    </row>
    <row r="296">
      <c r="AM296" s="158"/>
      <c r="AN296" s="158"/>
      <c r="AO296" s="158"/>
    </row>
    <row r="297">
      <c r="AM297" s="158"/>
      <c r="AN297" s="158"/>
      <c r="AO297" s="158"/>
    </row>
    <row r="298">
      <c r="AM298" s="158"/>
      <c r="AN298" s="158"/>
      <c r="AO298" s="158"/>
    </row>
    <row r="299">
      <c r="AM299" s="158"/>
      <c r="AN299" s="158"/>
      <c r="AO299" s="158"/>
    </row>
    <row r="300">
      <c r="AM300" s="158"/>
      <c r="AN300" s="158"/>
      <c r="AO300" s="158"/>
    </row>
    <row r="301">
      <c r="AM301" s="158"/>
      <c r="AN301" s="158"/>
      <c r="AO301" s="158"/>
    </row>
    <row r="302">
      <c r="AM302" s="158"/>
      <c r="AN302" s="158"/>
      <c r="AO302" s="158"/>
    </row>
    <row r="303">
      <c r="AM303" s="158"/>
      <c r="AN303" s="158"/>
      <c r="AO303" s="158"/>
    </row>
    <row r="304">
      <c r="AM304" s="158"/>
      <c r="AN304" s="158"/>
      <c r="AO304" s="158"/>
    </row>
    <row r="305">
      <c r="AM305" s="158"/>
      <c r="AN305" s="158"/>
      <c r="AO305" s="158"/>
    </row>
    <row r="306">
      <c r="AM306" s="158"/>
      <c r="AN306" s="158"/>
      <c r="AO306" s="158"/>
    </row>
    <row r="307">
      <c r="AM307" s="158"/>
      <c r="AN307" s="158"/>
      <c r="AO307" s="158"/>
    </row>
    <row r="308">
      <c r="AM308" s="158"/>
      <c r="AN308" s="158"/>
      <c r="AO308" s="158"/>
    </row>
    <row r="309">
      <c r="AM309" s="158"/>
      <c r="AN309" s="158"/>
      <c r="AO309" s="158"/>
    </row>
    <row r="310">
      <c r="AM310" s="158"/>
      <c r="AN310" s="158"/>
      <c r="AO310" s="158"/>
    </row>
    <row r="311">
      <c r="AM311" s="158"/>
      <c r="AN311" s="158"/>
      <c r="AO311" s="158"/>
    </row>
    <row r="312">
      <c r="AM312" s="158"/>
      <c r="AN312" s="158"/>
      <c r="AO312" s="158"/>
    </row>
    <row r="313">
      <c r="AM313" s="158"/>
      <c r="AN313" s="158"/>
      <c r="AO313" s="158"/>
    </row>
    <row r="314">
      <c r="AM314" s="158"/>
      <c r="AN314" s="158"/>
      <c r="AO314" s="158"/>
    </row>
    <row r="315">
      <c r="AM315" s="158"/>
      <c r="AN315" s="158"/>
      <c r="AO315" s="158"/>
    </row>
    <row r="316">
      <c r="AM316" s="158"/>
      <c r="AN316" s="158"/>
      <c r="AO316" s="158"/>
    </row>
    <row r="317">
      <c r="AM317" s="158"/>
      <c r="AN317" s="158"/>
      <c r="AO317" s="158"/>
    </row>
    <row r="318">
      <c r="AM318" s="158"/>
      <c r="AN318" s="158"/>
      <c r="AO318" s="158"/>
    </row>
    <row r="319">
      <c r="AM319" s="158"/>
      <c r="AN319" s="158"/>
      <c r="AO319" s="158"/>
    </row>
    <row r="320">
      <c r="AM320" s="158"/>
      <c r="AN320" s="158"/>
      <c r="AO320" s="158"/>
    </row>
    <row r="321">
      <c r="AM321" s="158"/>
      <c r="AN321" s="158"/>
      <c r="AO321" s="158"/>
    </row>
    <row r="322">
      <c r="AM322" s="158"/>
      <c r="AN322" s="158"/>
      <c r="AO322" s="158"/>
    </row>
    <row r="323">
      <c r="AM323" s="158"/>
      <c r="AN323" s="158"/>
      <c r="AO323" s="158"/>
    </row>
    <row r="324">
      <c r="AM324" s="158"/>
      <c r="AN324" s="158"/>
      <c r="AO324" s="158"/>
    </row>
    <row r="325">
      <c r="AM325" s="158"/>
      <c r="AN325" s="158"/>
      <c r="AO325" s="158"/>
    </row>
    <row r="326">
      <c r="AM326" s="158"/>
      <c r="AN326" s="158"/>
      <c r="AO326" s="158"/>
    </row>
    <row r="327">
      <c r="AM327" s="158"/>
      <c r="AN327" s="158"/>
      <c r="AO327" s="158"/>
    </row>
    <row r="328">
      <c r="AM328" s="158"/>
      <c r="AN328" s="158"/>
      <c r="AO328" s="158"/>
    </row>
    <row r="329">
      <c r="AM329" s="158"/>
      <c r="AN329" s="158"/>
      <c r="AO329" s="158"/>
    </row>
    <row r="330">
      <c r="AM330" s="158"/>
      <c r="AN330" s="158"/>
      <c r="AO330" s="158"/>
    </row>
    <row r="331">
      <c r="AM331" s="158"/>
      <c r="AN331" s="158"/>
      <c r="AO331" s="158"/>
    </row>
    <row r="332">
      <c r="AM332" s="158"/>
      <c r="AN332" s="158"/>
      <c r="AO332" s="158"/>
    </row>
    <row r="333">
      <c r="AM333" s="158"/>
      <c r="AN333" s="158"/>
      <c r="AO333" s="158"/>
    </row>
    <row r="334">
      <c r="AM334" s="158"/>
      <c r="AN334" s="158"/>
      <c r="AO334" s="158"/>
    </row>
    <row r="335">
      <c r="AM335" s="158"/>
      <c r="AN335" s="158"/>
      <c r="AO335" s="158"/>
    </row>
    <row r="336">
      <c r="AM336" s="158"/>
      <c r="AN336" s="158"/>
      <c r="AO336" s="158"/>
    </row>
    <row r="337">
      <c r="AM337" s="158"/>
      <c r="AN337" s="158"/>
      <c r="AO337" s="158"/>
    </row>
    <row r="338">
      <c r="AM338" s="158"/>
      <c r="AN338" s="158"/>
      <c r="AO338" s="158"/>
    </row>
    <row r="339">
      <c r="AM339" s="158"/>
      <c r="AN339" s="158"/>
      <c r="AO339" s="158"/>
    </row>
    <row r="340">
      <c r="AM340" s="158"/>
      <c r="AN340" s="158"/>
      <c r="AO340" s="158"/>
    </row>
    <row r="341">
      <c r="H341" s="147">
        <f>475.18-474.18</f>
        <v>1</v>
      </c>
      <c r="I341" s="147">
        <f>509.025-H341</f>
        <v>508.025</v>
      </c>
      <c r="K341" s="147">
        <f>474.18-473.28</f>
        <v>0.9</v>
      </c>
      <c r="L341" s="147">
        <f>473.28</f>
        <v>473.28</v>
      </c>
      <c r="M341" s="44">
        <v>444.18</v>
      </c>
      <c r="N341" s="147">
        <f>444.12</f>
        <v>444.12</v>
      </c>
      <c r="O341" s="147">
        <f>435.32</f>
        <v>435.32</v>
      </c>
      <c r="P341" s="44">
        <v>434.12</v>
      </c>
      <c r="Q341" s="44">
        <v>432.92</v>
      </c>
      <c r="R341" s="44">
        <v>396.32</v>
      </c>
      <c r="S341" s="44">
        <v>395.12</v>
      </c>
      <c r="T341" s="44">
        <v>395.0</v>
      </c>
      <c r="U341" s="147">
        <f>428.8025</f>
        <v>428.8025</v>
      </c>
      <c r="V341" s="149">
        <v>428.845</v>
      </c>
      <c r="AM341" s="158"/>
      <c r="AN341" s="158"/>
      <c r="AO341" s="158"/>
    </row>
    <row r="342">
      <c r="K342" s="147">
        <f>473.28+K341</f>
        <v>474.18</v>
      </c>
      <c r="M342" s="147">
        <f>L341-M341</f>
        <v>29.1</v>
      </c>
      <c r="N342" s="147">
        <f>N341-M341</f>
        <v>-0.06</v>
      </c>
      <c r="O342" s="147">
        <f t="shared" ref="O342:T342" si="207">N341-O341</f>
        <v>8.8</v>
      </c>
      <c r="P342" s="147">
        <f t="shared" si="207"/>
        <v>1.2</v>
      </c>
      <c r="Q342" s="147">
        <f t="shared" si="207"/>
        <v>1.2</v>
      </c>
      <c r="R342" s="147">
        <f t="shared" si="207"/>
        <v>36.6</v>
      </c>
      <c r="S342" s="147">
        <f t="shared" si="207"/>
        <v>1.2</v>
      </c>
      <c r="T342" s="147">
        <f t="shared" si="207"/>
        <v>0.12</v>
      </c>
      <c r="U342" s="147">
        <f>225.47</f>
        <v>225.47</v>
      </c>
      <c r="AM342" s="158"/>
      <c r="AN342" s="158"/>
      <c r="AO342" s="158"/>
    </row>
    <row r="343">
      <c r="AM343" s="158"/>
      <c r="AN343" s="158"/>
      <c r="AO343" s="158"/>
    </row>
    <row r="344">
      <c r="K344" s="44">
        <f>508.025-K341</f>
        <v>507.125</v>
      </c>
      <c r="M344" s="147">
        <f>507.125-M342</f>
        <v>478.025</v>
      </c>
      <c r="N344" s="147">
        <f>M344-0.06</f>
        <v>477.965</v>
      </c>
      <c r="O344" s="147">
        <f t="shared" ref="O344:T344" si="208">N344-O342</f>
        <v>469.165</v>
      </c>
      <c r="P344" s="147">
        <f t="shared" si="208"/>
        <v>467.965</v>
      </c>
      <c r="Q344" s="147">
        <f t="shared" si="208"/>
        <v>466.765</v>
      </c>
      <c r="R344" s="147">
        <f t="shared" si="208"/>
        <v>430.165</v>
      </c>
      <c r="S344" s="147">
        <f t="shared" si="208"/>
        <v>428.965</v>
      </c>
      <c r="T344" s="147">
        <f t="shared" si="208"/>
        <v>428.845</v>
      </c>
      <c r="U344" s="147">
        <f>U341-U342</f>
        <v>203.3325</v>
      </c>
      <c r="V344" s="147">
        <f>V341-U342</f>
        <v>203.375</v>
      </c>
      <c r="AM344" s="158"/>
      <c r="AN344" s="158"/>
      <c r="AO344" s="158"/>
    </row>
    <row r="345">
      <c r="U345" s="147">
        <f>V344-U344</f>
        <v>0.0425</v>
      </c>
      <c r="AM345" s="158"/>
      <c r="AN345" s="158"/>
      <c r="AO345" s="158"/>
    </row>
    <row r="346">
      <c r="V346" s="147">
        <f>U342+U345</f>
        <v>225.5125</v>
      </c>
      <c r="W346" s="147">
        <f>225</f>
        <v>225</v>
      </c>
      <c r="AM346" s="158"/>
      <c r="AN346" s="158"/>
      <c r="AO346" s="158"/>
    </row>
    <row r="347">
      <c r="W347" s="147">
        <f>V346-W346</f>
        <v>0.5125</v>
      </c>
      <c r="AM347" s="158"/>
      <c r="AN347" s="158"/>
      <c r="AO347" s="158"/>
    </row>
    <row r="348">
      <c r="W348" s="147">
        <f>W346-W347</f>
        <v>224.4875</v>
      </c>
      <c r="AM348" s="158"/>
      <c r="AN348" s="158"/>
      <c r="AO348" s="158"/>
    </row>
    <row r="349">
      <c r="Y349" s="44">
        <f>750/2</f>
        <v>375</v>
      </c>
      <c r="AM349" s="158"/>
      <c r="AN349" s="158"/>
      <c r="AO349" s="158"/>
    </row>
    <row r="350">
      <c r="AM350" s="158"/>
      <c r="AN350" s="158"/>
      <c r="AO350" s="158"/>
    </row>
    <row r="351">
      <c r="AM351" s="158"/>
      <c r="AN351" s="158"/>
      <c r="AO351" s="158"/>
    </row>
    <row r="352">
      <c r="AM352" s="158"/>
      <c r="AN352" s="158"/>
      <c r="AO352" s="158"/>
    </row>
    <row r="353">
      <c r="J353" s="147">
        <f>395+0.12</f>
        <v>395.12</v>
      </c>
      <c r="AM353" s="158"/>
      <c r="AN353" s="158"/>
      <c r="AO353" s="158"/>
    </row>
    <row r="354">
      <c r="AM354" s="158"/>
      <c r="AN354" s="158"/>
      <c r="AO354" s="158"/>
    </row>
    <row r="355">
      <c r="AM355" s="158"/>
      <c r="AN355" s="158"/>
      <c r="AO355" s="158"/>
    </row>
    <row r="356">
      <c r="AM356" s="158"/>
      <c r="AN356" s="158"/>
      <c r="AO356" s="158"/>
    </row>
    <row r="357">
      <c r="AM357" s="158"/>
      <c r="AN357" s="158"/>
      <c r="AO357" s="158"/>
    </row>
    <row r="358">
      <c r="N358" s="147">
        <f t="shared" ref="N358:N359" si="209">509.025-225.47</f>
        <v>283.555</v>
      </c>
      <c r="Q358" s="147">
        <f>428.845+395</f>
        <v>823.845</v>
      </c>
      <c r="AM358" s="158"/>
      <c r="AN358" s="158"/>
      <c r="AO358" s="158"/>
    </row>
    <row r="359">
      <c r="N359" s="147">
        <f t="shared" si="209"/>
        <v>283.555</v>
      </c>
      <c r="P359" s="147">
        <f>Q358-790</f>
        <v>33.845</v>
      </c>
      <c r="Q359" s="147">
        <f>428.845+P360</f>
        <v>790</v>
      </c>
      <c r="AM359" s="158"/>
      <c r="AN359" s="158"/>
      <c r="AO359" s="158"/>
    </row>
    <row r="360">
      <c r="J360" s="147">
        <f>P360+0.12</f>
        <v>361.275</v>
      </c>
      <c r="P360" s="147">
        <f>395-P359</f>
        <v>361.155</v>
      </c>
      <c r="AM360" s="158"/>
      <c r="AN360" s="158"/>
      <c r="AO360" s="158"/>
    </row>
    <row r="361">
      <c r="J361" s="147">
        <f>J360+361.2</f>
        <v>722.475</v>
      </c>
      <c r="AM361" s="158"/>
      <c r="AN361" s="158"/>
      <c r="AO361" s="158"/>
    </row>
    <row r="362">
      <c r="AM362" s="158"/>
      <c r="AN362" s="158"/>
      <c r="AO362" s="158"/>
    </row>
    <row r="363">
      <c r="U363" s="147">
        <f>428.965+361.04</f>
        <v>790.005</v>
      </c>
      <c r="AM363" s="158"/>
      <c r="AN363" s="158"/>
      <c r="AO363" s="158"/>
    </row>
    <row r="364">
      <c r="K364" s="147">
        <f>J360+80</f>
        <v>441.275</v>
      </c>
      <c r="AM364" s="158"/>
      <c r="AN364" s="158"/>
      <c r="AO364" s="158"/>
    </row>
    <row r="365">
      <c r="K365" s="149">
        <v>2.0</v>
      </c>
      <c r="AM365" s="158"/>
      <c r="AN365" s="158"/>
      <c r="AO365" s="158"/>
    </row>
    <row r="366">
      <c r="K366" s="147">
        <f>570.2+505.8</f>
        <v>1076</v>
      </c>
      <c r="O366" s="147">
        <f>442.275+1.9625</f>
        <v>444.2375</v>
      </c>
      <c r="AM366" s="158"/>
      <c r="AN366" s="158"/>
      <c r="AO366" s="158"/>
    </row>
    <row r="367">
      <c r="O367" s="147">
        <f>505.8-1.9625</f>
        <v>503.8375</v>
      </c>
      <c r="AM367" s="158"/>
      <c r="AN367" s="158"/>
      <c r="AO367" s="158"/>
    </row>
    <row r="368">
      <c r="O368" s="147">
        <f>570.5-1.9625</f>
        <v>568.5375</v>
      </c>
      <c r="AM368" s="158"/>
      <c r="AN368" s="158"/>
      <c r="AO368" s="158"/>
    </row>
    <row r="369">
      <c r="O369" s="147">
        <f t="shared" ref="O369:P369" si="210">509.025+1.9625</f>
        <v>510.9875</v>
      </c>
      <c r="P369" s="147">
        <f t="shared" si="210"/>
        <v>510.9875</v>
      </c>
      <c r="AM369" s="158"/>
      <c r="AN369" s="158"/>
      <c r="AO369" s="158"/>
    </row>
    <row r="370">
      <c r="O370" s="147">
        <f>570.5-1.9625</f>
        <v>568.5375</v>
      </c>
      <c r="P370" s="147">
        <f>442.275+1.9625</f>
        <v>444.2375</v>
      </c>
      <c r="AM370" s="158"/>
      <c r="AN370" s="158"/>
      <c r="AO370" s="158"/>
    </row>
    <row r="371">
      <c r="P371" s="147">
        <f>505.8-1.9625</f>
        <v>503.8375</v>
      </c>
      <c r="AM371" s="158"/>
      <c r="AN371" s="158"/>
      <c r="AO371" s="158"/>
    </row>
    <row r="372">
      <c r="AM372" s="158"/>
      <c r="AN372" s="158"/>
      <c r="AO372" s="158"/>
    </row>
    <row r="373">
      <c r="AM373" s="158"/>
      <c r="AN373" s="158"/>
      <c r="AO373" s="158"/>
    </row>
    <row r="374">
      <c r="P374" s="147">
        <f>429.055-225.47</f>
        <v>203.585</v>
      </c>
      <c r="Q374" s="147">
        <f>361.55-225.47</f>
        <v>136.08</v>
      </c>
      <c r="R374" s="147">
        <f>428.845-225.47</f>
        <v>203.375</v>
      </c>
      <c r="S374" s="147">
        <f>R374-R375</f>
        <v>33.6475</v>
      </c>
      <c r="T374" s="147">
        <f>225.47+S374</f>
        <v>259.1175</v>
      </c>
      <c r="U374" s="147">
        <f>428.845-T374</f>
        <v>169.7275</v>
      </c>
      <c r="W374" s="147">
        <f>259.1175+1.7</f>
        <v>260.8175</v>
      </c>
      <c r="AM374" s="158"/>
      <c r="AN374" s="158"/>
      <c r="AO374" s="158"/>
    </row>
    <row r="375">
      <c r="R375" s="147">
        <f>(R374+Q374)/2</f>
        <v>169.7275</v>
      </c>
      <c r="AM375" s="158"/>
      <c r="AN375" s="158"/>
      <c r="AO375" s="158"/>
    </row>
    <row r="376">
      <c r="AM376" s="158"/>
      <c r="AN376" s="158"/>
      <c r="AO376" s="158"/>
    </row>
    <row r="377">
      <c r="AM377" s="158"/>
      <c r="AN377" s="158"/>
      <c r="AO377" s="158"/>
    </row>
    <row r="378">
      <c r="AM378" s="158"/>
      <c r="AN378" s="158"/>
      <c r="AO378" s="158"/>
    </row>
    <row r="379">
      <c r="AM379" s="158"/>
      <c r="AN379" s="158"/>
      <c r="AO379" s="158"/>
    </row>
    <row r="380">
      <c r="AM380" s="158"/>
      <c r="AN380" s="158"/>
      <c r="AO380" s="158"/>
    </row>
    <row r="381">
      <c r="AM381" s="158"/>
      <c r="AN381" s="158"/>
      <c r="AO381" s="158"/>
    </row>
    <row r="382">
      <c r="AM382" s="158"/>
      <c r="AN382" s="158"/>
      <c r="AO382" s="158"/>
    </row>
    <row r="383">
      <c r="AM383" s="158"/>
      <c r="AN383" s="158"/>
      <c r="AO383" s="158"/>
    </row>
    <row r="384">
      <c r="AM384" s="158"/>
      <c r="AN384" s="158"/>
      <c r="AO384" s="158"/>
    </row>
    <row r="385">
      <c r="AM385" s="158"/>
      <c r="AN385" s="158"/>
      <c r="AO385" s="158"/>
    </row>
    <row r="386">
      <c r="AM386" s="158"/>
      <c r="AN386" s="158"/>
      <c r="AO386" s="158"/>
    </row>
    <row r="387">
      <c r="AM387" s="158"/>
      <c r="AN387" s="158"/>
      <c r="AO387" s="158"/>
    </row>
    <row r="388">
      <c r="AM388" s="158"/>
      <c r="AN388" s="158"/>
      <c r="AO388" s="158"/>
    </row>
    <row r="389">
      <c r="AM389" s="158"/>
      <c r="AN389" s="158"/>
      <c r="AO389" s="158"/>
    </row>
    <row r="390">
      <c r="AM390" s="158"/>
      <c r="AN390" s="158"/>
      <c r="AO390" s="158"/>
    </row>
    <row r="391">
      <c r="AM391" s="158"/>
      <c r="AN391" s="158"/>
      <c r="AO391" s="158"/>
    </row>
    <row r="392">
      <c r="AM392" s="158"/>
      <c r="AN392" s="158"/>
      <c r="AO392" s="158"/>
    </row>
    <row r="393">
      <c r="AM393" s="158"/>
      <c r="AN393" s="158"/>
      <c r="AO393" s="158"/>
    </row>
    <row r="394">
      <c r="AM394" s="158"/>
      <c r="AN394" s="158"/>
      <c r="AO394" s="158"/>
    </row>
    <row r="395">
      <c r="AM395" s="158"/>
      <c r="AN395" s="158"/>
      <c r="AO395" s="158"/>
    </row>
    <row r="396">
      <c r="AM396" s="158"/>
      <c r="AN396" s="158"/>
      <c r="AO396" s="158"/>
    </row>
    <row r="397">
      <c r="AM397" s="158"/>
      <c r="AN397" s="158"/>
      <c r="AO397" s="158"/>
    </row>
    <row r="398">
      <c r="AM398" s="158"/>
      <c r="AN398" s="158"/>
      <c r="AO398" s="158"/>
    </row>
    <row r="399">
      <c r="AM399" s="158"/>
      <c r="AN399" s="158"/>
      <c r="AO399" s="158"/>
    </row>
    <row r="400">
      <c r="AM400" s="158"/>
      <c r="AN400" s="158"/>
      <c r="AO400" s="158"/>
    </row>
    <row r="401">
      <c r="AM401" s="158"/>
      <c r="AN401" s="158"/>
      <c r="AO401" s="158"/>
    </row>
    <row r="402">
      <c r="AM402" s="158"/>
      <c r="AN402" s="158"/>
      <c r="AO402" s="158"/>
    </row>
    <row r="403">
      <c r="AM403" s="158"/>
      <c r="AN403" s="158"/>
      <c r="AO403" s="158"/>
    </row>
    <row r="404">
      <c r="AM404" s="158"/>
      <c r="AN404" s="158"/>
      <c r="AO404" s="158"/>
    </row>
    <row r="405">
      <c r="AM405" s="158"/>
      <c r="AN405" s="158"/>
      <c r="AO405" s="158"/>
    </row>
    <row r="406">
      <c r="AM406" s="158"/>
      <c r="AN406" s="158"/>
      <c r="AO406" s="158"/>
    </row>
    <row r="407">
      <c r="AM407" s="158"/>
      <c r="AN407" s="158"/>
      <c r="AO407" s="158"/>
    </row>
    <row r="408">
      <c r="AM408" s="158"/>
      <c r="AN408" s="158"/>
      <c r="AO408" s="158"/>
    </row>
    <row r="409">
      <c r="AM409" s="158"/>
      <c r="AN409" s="158"/>
      <c r="AO409" s="158"/>
    </row>
    <row r="410">
      <c r="AM410" s="158"/>
      <c r="AN410" s="158"/>
      <c r="AO410" s="158"/>
    </row>
    <row r="411">
      <c r="AM411" s="158"/>
      <c r="AN411" s="158"/>
      <c r="AO411" s="158"/>
    </row>
    <row r="412">
      <c r="AM412" s="158"/>
      <c r="AN412" s="158"/>
      <c r="AO412" s="158"/>
    </row>
    <row r="413">
      <c r="AM413" s="158"/>
      <c r="AN413" s="158"/>
      <c r="AO413" s="158"/>
    </row>
    <row r="414">
      <c r="AM414" s="158"/>
      <c r="AN414" s="158"/>
      <c r="AO414" s="158"/>
    </row>
    <row r="415">
      <c r="AM415" s="158"/>
      <c r="AN415" s="158"/>
      <c r="AO415" s="158"/>
    </row>
    <row r="416">
      <c r="AM416" s="158"/>
      <c r="AN416" s="158"/>
      <c r="AO416" s="158"/>
    </row>
    <row r="417">
      <c r="AM417" s="158"/>
      <c r="AN417" s="158"/>
      <c r="AO417" s="158"/>
    </row>
    <row r="418">
      <c r="AM418" s="158"/>
      <c r="AN418" s="158"/>
      <c r="AO418" s="158"/>
    </row>
    <row r="419">
      <c r="AM419" s="158"/>
      <c r="AN419" s="158"/>
      <c r="AO419" s="158"/>
    </row>
    <row r="420">
      <c r="AM420" s="158"/>
      <c r="AN420" s="158"/>
      <c r="AO420" s="158"/>
    </row>
    <row r="421">
      <c r="AM421" s="158"/>
      <c r="AN421" s="158"/>
      <c r="AO421" s="158"/>
    </row>
    <row r="422">
      <c r="AM422" s="158"/>
      <c r="AN422" s="158"/>
      <c r="AO422" s="158"/>
    </row>
    <row r="423">
      <c r="AM423" s="158"/>
      <c r="AN423" s="158"/>
      <c r="AO423" s="158"/>
    </row>
    <row r="424">
      <c r="AM424" s="158"/>
      <c r="AN424" s="158"/>
      <c r="AO424" s="158"/>
    </row>
    <row r="425">
      <c r="AM425" s="158"/>
      <c r="AN425" s="158"/>
      <c r="AO425" s="158"/>
    </row>
    <row r="426">
      <c r="AM426" s="158"/>
      <c r="AN426" s="158"/>
      <c r="AO426" s="158"/>
    </row>
    <row r="427">
      <c r="AM427" s="158"/>
      <c r="AN427" s="158"/>
      <c r="AO427" s="158"/>
    </row>
    <row r="428">
      <c r="AM428" s="158"/>
      <c r="AN428" s="158"/>
      <c r="AO428" s="158"/>
    </row>
    <row r="429">
      <c r="AM429" s="158"/>
      <c r="AN429" s="158"/>
      <c r="AO429" s="158"/>
    </row>
    <row r="430">
      <c r="AM430" s="158"/>
      <c r="AN430" s="158"/>
      <c r="AO430" s="158"/>
    </row>
    <row r="431">
      <c r="AM431" s="158"/>
      <c r="AN431" s="158"/>
      <c r="AO431" s="158"/>
    </row>
    <row r="432">
      <c r="AM432" s="158"/>
      <c r="AN432" s="158"/>
      <c r="AO432" s="158"/>
    </row>
    <row r="433">
      <c r="AM433" s="158"/>
      <c r="AN433" s="158"/>
      <c r="AO433" s="158"/>
    </row>
    <row r="434">
      <c r="AM434" s="158"/>
      <c r="AN434" s="158"/>
      <c r="AO434" s="158"/>
    </row>
    <row r="435">
      <c r="AM435" s="158"/>
      <c r="AN435" s="158"/>
      <c r="AO435" s="158"/>
    </row>
    <row r="436">
      <c r="AM436" s="158"/>
      <c r="AN436" s="158"/>
      <c r="AO436" s="158"/>
    </row>
    <row r="437">
      <c r="AM437" s="158"/>
      <c r="AN437" s="158"/>
      <c r="AO437" s="158"/>
    </row>
    <row r="438">
      <c r="AM438" s="158"/>
      <c r="AN438" s="158"/>
      <c r="AO438" s="158"/>
    </row>
    <row r="439">
      <c r="AM439" s="158"/>
      <c r="AN439" s="158"/>
      <c r="AO439" s="158"/>
    </row>
    <row r="440">
      <c r="AM440" s="158"/>
      <c r="AN440" s="158"/>
      <c r="AO440" s="158"/>
    </row>
    <row r="441">
      <c r="AM441" s="158"/>
      <c r="AN441" s="158"/>
      <c r="AO441" s="158"/>
    </row>
    <row r="442">
      <c r="AM442" s="158"/>
      <c r="AN442" s="158"/>
      <c r="AO442" s="158"/>
    </row>
    <row r="443">
      <c r="AM443" s="158"/>
      <c r="AN443" s="158"/>
      <c r="AO443" s="158"/>
    </row>
    <row r="444">
      <c r="AM444" s="158"/>
      <c r="AN444" s="158"/>
      <c r="AO444" s="158"/>
    </row>
    <row r="445">
      <c r="AM445" s="158"/>
      <c r="AN445" s="158"/>
      <c r="AO445" s="158"/>
    </row>
    <row r="446">
      <c r="AM446" s="158"/>
      <c r="AN446" s="158"/>
      <c r="AO446" s="158"/>
    </row>
    <row r="447">
      <c r="AM447" s="158"/>
      <c r="AN447" s="158"/>
      <c r="AO447" s="158"/>
    </row>
    <row r="448">
      <c r="AM448" s="158"/>
      <c r="AN448" s="158"/>
      <c r="AO448" s="158"/>
    </row>
    <row r="449">
      <c r="AM449" s="158"/>
      <c r="AN449" s="158"/>
      <c r="AO449" s="158"/>
    </row>
    <row r="450">
      <c r="AM450" s="158"/>
      <c r="AN450" s="158"/>
      <c r="AO450" s="158"/>
    </row>
    <row r="451">
      <c r="AM451" s="158"/>
      <c r="AN451" s="158"/>
      <c r="AO451" s="158"/>
    </row>
    <row r="452">
      <c r="AM452" s="158"/>
      <c r="AN452" s="158"/>
      <c r="AO452" s="158"/>
    </row>
    <row r="453">
      <c r="AM453" s="158"/>
      <c r="AN453" s="158"/>
      <c r="AO453" s="158"/>
    </row>
    <row r="454">
      <c r="AM454" s="158"/>
      <c r="AN454" s="158"/>
      <c r="AO454" s="158"/>
    </row>
    <row r="455">
      <c r="AM455" s="158"/>
      <c r="AN455" s="158"/>
      <c r="AO455" s="158"/>
    </row>
    <row r="456">
      <c r="AM456" s="158"/>
      <c r="AN456" s="158"/>
      <c r="AO456" s="158"/>
    </row>
    <row r="457">
      <c r="AM457" s="158"/>
      <c r="AN457" s="158"/>
      <c r="AO457" s="158"/>
    </row>
    <row r="458">
      <c r="AM458" s="158"/>
      <c r="AN458" s="158"/>
      <c r="AO458" s="158"/>
    </row>
    <row r="459">
      <c r="AM459" s="158"/>
      <c r="AN459" s="158"/>
      <c r="AO459" s="158"/>
    </row>
    <row r="460">
      <c r="AM460" s="158"/>
      <c r="AN460" s="158"/>
      <c r="AO460" s="158"/>
    </row>
    <row r="461">
      <c r="AM461" s="158"/>
      <c r="AN461" s="158"/>
      <c r="AO461" s="158"/>
    </row>
    <row r="462">
      <c r="AM462" s="158"/>
      <c r="AN462" s="158"/>
      <c r="AO462" s="158"/>
    </row>
    <row r="463">
      <c r="AM463" s="158"/>
      <c r="AN463" s="158"/>
      <c r="AO463" s="158"/>
    </row>
    <row r="464">
      <c r="AM464" s="158"/>
      <c r="AN464" s="158"/>
      <c r="AO464" s="158"/>
    </row>
    <row r="465">
      <c r="AM465" s="158"/>
      <c r="AN465" s="158"/>
      <c r="AO465" s="158"/>
    </row>
    <row r="466">
      <c r="AM466" s="158"/>
      <c r="AN466" s="158"/>
      <c r="AO466" s="158"/>
    </row>
    <row r="467">
      <c r="AM467" s="158"/>
      <c r="AN467" s="158"/>
      <c r="AO467" s="158"/>
    </row>
    <row r="468">
      <c r="AM468" s="158"/>
      <c r="AN468" s="158"/>
      <c r="AO468" s="158"/>
    </row>
    <row r="469">
      <c r="AM469" s="158"/>
      <c r="AN469" s="158"/>
      <c r="AO469" s="158"/>
    </row>
    <row r="470">
      <c r="AM470" s="158"/>
      <c r="AN470" s="158"/>
      <c r="AO470" s="158"/>
    </row>
    <row r="471">
      <c r="AM471" s="158"/>
      <c r="AN471" s="158"/>
      <c r="AO471" s="158"/>
    </row>
    <row r="472">
      <c r="AM472" s="158"/>
      <c r="AN472" s="158"/>
      <c r="AO472" s="158"/>
    </row>
    <row r="473">
      <c r="AM473" s="158"/>
      <c r="AN473" s="158"/>
      <c r="AO473" s="158"/>
    </row>
    <row r="474">
      <c r="AM474" s="158"/>
      <c r="AN474" s="158"/>
      <c r="AO474" s="158"/>
    </row>
    <row r="475">
      <c r="AM475" s="158"/>
      <c r="AN475" s="158"/>
      <c r="AO475" s="158"/>
    </row>
    <row r="476">
      <c r="AM476" s="158"/>
      <c r="AN476" s="158"/>
      <c r="AO476" s="158"/>
    </row>
    <row r="477">
      <c r="AM477" s="158"/>
      <c r="AN477" s="158"/>
      <c r="AO477" s="158"/>
    </row>
    <row r="478">
      <c r="AM478" s="158"/>
      <c r="AN478" s="158"/>
      <c r="AO478" s="158"/>
    </row>
    <row r="479">
      <c r="AM479" s="158"/>
      <c r="AN479" s="158"/>
      <c r="AO479" s="158"/>
    </row>
    <row r="480">
      <c r="AM480" s="158"/>
      <c r="AN480" s="158"/>
      <c r="AO480" s="158"/>
    </row>
    <row r="481">
      <c r="AM481" s="158"/>
      <c r="AN481" s="158"/>
      <c r="AO481" s="158"/>
    </row>
    <row r="482">
      <c r="AM482" s="158"/>
      <c r="AN482" s="158"/>
      <c r="AO482" s="158"/>
    </row>
    <row r="483">
      <c r="AM483" s="158"/>
      <c r="AN483" s="158"/>
      <c r="AO483" s="158"/>
    </row>
    <row r="484">
      <c r="AM484" s="158"/>
      <c r="AN484" s="158"/>
      <c r="AO484" s="158"/>
    </row>
    <row r="485">
      <c r="AM485" s="158"/>
      <c r="AN485" s="158"/>
      <c r="AO485" s="158"/>
    </row>
    <row r="486">
      <c r="AM486" s="158"/>
      <c r="AN486" s="158"/>
      <c r="AO486" s="158"/>
    </row>
    <row r="487">
      <c r="AM487" s="158"/>
      <c r="AN487" s="158"/>
      <c r="AO487" s="158"/>
    </row>
    <row r="488">
      <c r="AM488" s="158"/>
      <c r="AN488" s="158"/>
      <c r="AO488" s="158"/>
    </row>
    <row r="489">
      <c r="AM489" s="158"/>
      <c r="AN489" s="158"/>
      <c r="AO489" s="158"/>
    </row>
    <row r="490">
      <c r="AM490" s="158"/>
      <c r="AN490" s="158"/>
      <c r="AO490" s="158"/>
    </row>
    <row r="491">
      <c r="AM491" s="158"/>
      <c r="AN491" s="158"/>
      <c r="AO491" s="158"/>
    </row>
    <row r="492">
      <c r="AM492" s="158"/>
      <c r="AN492" s="158"/>
      <c r="AO492" s="158"/>
    </row>
    <row r="493">
      <c r="AM493" s="158"/>
      <c r="AN493" s="158"/>
      <c r="AO493" s="158"/>
    </row>
    <row r="494">
      <c r="AM494" s="158"/>
      <c r="AN494" s="158"/>
      <c r="AO494" s="158"/>
    </row>
    <row r="495">
      <c r="AM495" s="158"/>
      <c r="AN495" s="158"/>
      <c r="AO495" s="158"/>
    </row>
    <row r="496">
      <c r="AM496" s="158"/>
      <c r="AN496" s="158"/>
      <c r="AO496" s="158"/>
    </row>
    <row r="497">
      <c r="AM497" s="158"/>
      <c r="AN497" s="158"/>
      <c r="AO497" s="158"/>
    </row>
    <row r="498">
      <c r="AM498" s="158"/>
      <c r="AN498" s="158"/>
      <c r="AO498" s="158"/>
    </row>
    <row r="499">
      <c r="AM499" s="158"/>
      <c r="AN499" s="158"/>
      <c r="AO499" s="158"/>
    </row>
    <row r="500">
      <c r="AM500" s="158"/>
      <c r="AN500" s="158"/>
      <c r="AO500" s="158"/>
    </row>
    <row r="501">
      <c r="AM501" s="158"/>
      <c r="AN501" s="158"/>
      <c r="AO501" s="158"/>
    </row>
    <row r="502">
      <c r="AM502" s="158"/>
      <c r="AN502" s="158"/>
      <c r="AO502" s="158"/>
    </row>
    <row r="503">
      <c r="AM503" s="158"/>
      <c r="AN503" s="158"/>
      <c r="AO503" s="158"/>
    </row>
    <row r="504">
      <c r="AM504" s="158"/>
      <c r="AN504" s="158"/>
      <c r="AO504" s="158"/>
    </row>
    <row r="505">
      <c r="AM505" s="158"/>
      <c r="AN505" s="158"/>
      <c r="AO505" s="158"/>
    </row>
    <row r="506">
      <c r="AM506" s="158"/>
      <c r="AN506" s="158"/>
      <c r="AO506" s="158"/>
    </row>
    <row r="507">
      <c r="AM507" s="158"/>
      <c r="AN507" s="158"/>
      <c r="AO507" s="158"/>
    </row>
    <row r="508">
      <c r="AM508" s="158"/>
      <c r="AN508" s="158"/>
      <c r="AO508" s="158"/>
    </row>
    <row r="509">
      <c r="AM509" s="158"/>
      <c r="AN509" s="158"/>
      <c r="AO509" s="158"/>
    </row>
    <row r="510">
      <c r="AM510" s="158"/>
      <c r="AN510" s="158"/>
      <c r="AO510" s="158"/>
    </row>
    <row r="511">
      <c r="AM511" s="158"/>
      <c r="AN511" s="158"/>
      <c r="AO511" s="158"/>
    </row>
    <row r="512">
      <c r="AM512" s="158"/>
      <c r="AN512" s="158"/>
      <c r="AO512" s="158"/>
    </row>
    <row r="513">
      <c r="AM513" s="158"/>
      <c r="AN513" s="158"/>
      <c r="AO513" s="158"/>
    </row>
    <row r="514">
      <c r="AM514" s="158"/>
      <c r="AN514" s="158"/>
      <c r="AO514" s="158"/>
    </row>
    <row r="515">
      <c r="AM515" s="158"/>
      <c r="AN515" s="158"/>
      <c r="AO515" s="158"/>
    </row>
    <row r="516">
      <c r="AM516" s="158"/>
      <c r="AN516" s="158"/>
      <c r="AO516" s="158"/>
    </row>
    <row r="517">
      <c r="AM517" s="158"/>
      <c r="AN517" s="158"/>
      <c r="AO517" s="158"/>
    </row>
    <row r="518">
      <c r="AM518" s="158"/>
      <c r="AN518" s="158"/>
      <c r="AO518" s="158"/>
    </row>
    <row r="519">
      <c r="AM519" s="158"/>
      <c r="AN519" s="158"/>
      <c r="AO519" s="158"/>
    </row>
    <row r="520">
      <c r="AM520" s="158"/>
      <c r="AN520" s="158"/>
      <c r="AO520" s="158"/>
    </row>
    <row r="521">
      <c r="AM521" s="158"/>
      <c r="AN521" s="158"/>
      <c r="AO521" s="158"/>
    </row>
    <row r="522">
      <c r="AM522" s="158"/>
      <c r="AN522" s="158"/>
      <c r="AO522" s="158"/>
    </row>
    <row r="523">
      <c r="AM523" s="158"/>
      <c r="AN523" s="158"/>
      <c r="AO523" s="158"/>
    </row>
    <row r="524">
      <c r="AM524" s="158"/>
      <c r="AN524" s="158"/>
      <c r="AO524" s="158"/>
    </row>
    <row r="525">
      <c r="AM525" s="158"/>
      <c r="AN525" s="158"/>
      <c r="AO525" s="158"/>
    </row>
    <row r="526">
      <c r="AM526" s="158"/>
      <c r="AN526" s="158"/>
      <c r="AO526" s="158"/>
    </row>
    <row r="527">
      <c r="AM527" s="158"/>
      <c r="AN527" s="158"/>
      <c r="AO527" s="158"/>
    </row>
    <row r="528">
      <c r="AM528" s="158"/>
      <c r="AN528" s="158"/>
      <c r="AO528" s="158"/>
    </row>
    <row r="529">
      <c r="AM529" s="158"/>
      <c r="AN529" s="158"/>
      <c r="AO529" s="158"/>
    </row>
    <row r="530">
      <c r="AM530" s="158"/>
      <c r="AN530" s="158"/>
      <c r="AO530" s="158"/>
    </row>
    <row r="531">
      <c r="AM531" s="158"/>
      <c r="AN531" s="158"/>
      <c r="AO531" s="158"/>
    </row>
    <row r="532">
      <c r="AM532" s="158"/>
      <c r="AN532" s="158"/>
      <c r="AO532" s="158"/>
    </row>
    <row r="533">
      <c r="AM533" s="158"/>
      <c r="AN533" s="158"/>
      <c r="AO533" s="158"/>
    </row>
    <row r="534">
      <c r="AM534" s="158"/>
      <c r="AN534" s="158"/>
      <c r="AO534" s="158"/>
    </row>
    <row r="535">
      <c r="AM535" s="158"/>
      <c r="AN535" s="158"/>
      <c r="AO535" s="158"/>
    </row>
    <row r="536">
      <c r="AM536" s="158"/>
      <c r="AN536" s="158"/>
      <c r="AO536" s="158"/>
    </row>
    <row r="537">
      <c r="AM537" s="158"/>
      <c r="AN537" s="158"/>
      <c r="AO537" s="158"/>
    </row>
    <row r="538">
      <c r="AM538" s="158"/>
      <c r="AN538" s="158"/>
      <c r="AO538" s="158"/>
    </row>
    <row r="539">
      <c r="AM539" s="158"/>
      <c r="AN539" s="158"/>
      <c r="AO539" s="158"/>
    </row>
    <row r="540">
      <c r="AM540" s="158"/>
      <c r="AN540" s="158"/>
      <c r="AO540" s="158"/>
    </row>
    <row r="541">
      <c r="AM541" s="158"/>
      <c r="AN541" s="158"/>
      <c r="AO541" s="158"/>
    </row>
    <row r="542">
      <c r="AM542" s="158"/>
      <c r="AN542" s="158"/>
      <c r="AO542" s="158"/>
    </row>
    <row r="543">
      <c r="AM543" s="158"/>
      <c r="AN543" s="158"/>
      <c r="AO543" s="158"/>
    </row>
    <row r="544">
      <c r="AM544" s="158"/>
      <c r="AN544" s="158"/>
      <c r="AO544" s="158"/>
    </row>
    <row r="545">
      <c r="AM545" s="158"/>
      <c r="AN545" s="158"/>
      <c r="AO545" s="158"/>
    </row>
    <row r="546">
      <c r="AM546" s="158"/>
      <c r="AN546" s="158"/>
      <c r="AO546" s="158"/>
    </row>
    <row r="547">
      <c r="AM547" s="158"/>
      <c r="AN547" s="158"/>
      <c r="AO547" s="158"/>
    </row>
    <row r="548">
      <c r="AM548" s="158"/>
      <c r="AN548" s="158"/>
      <c r="AO548" s="158"/>
    </row>
    <row r="549">
      <c r="AM549" s="158"/>
      <c r="AN549" s="158"/>
      <c r="AO549" s="158"/>
    </row>
    <row r="550">
      <c r="AM550" s="158"/>
      <c r="AN550" s="158"/>
      <c r="AO550" s="158"/>
    </row>
    <row r="551">
      <c r="AM551" s="158"/>
      <c r="AN551" s="158"/>
      <c r="AO551" s="158"/>
    </row>
    <row r="552">
      <c r="AM552" s="158"/>
      <c r="AN552" s="158"/>
      <c r="AO552" s="158"/>
    </row>
    <row r="553">
      <c r="AM553" s="158"/>
      <c r="AN553" s="158"/>
      <c r="AO553" s="158"/>
    </row>
    <row r="554">
      <c r="AM554" s="158"/>
      <c r="AN554" s="158"/>
      <c r="AO554" s="158"/>
    </row>
    <row r="555">
      <c r="AM555" s="158"/>
      <c r="AN555" s="158"/>
      <c r="AO555" s="158"/>
    </row>
    <row r="556">
      <c r="AM556" s="158"/>
      <c r="AN556" s="158"/>
      <c r="AO556" s="158"/>
    </row>
    <row r="557">
      <c r="AM557" s="158"/>
      <c r="AN557" s="158"/>
      <c r="AO557" s="158"/>
    </row>
    <row r="558">
      <c r="AM558" s="158"/>
      <c r="AN558" s="158"/>
      <c r="AO558" s="158"/>
    </row>
    <row r="559">
      <c r="AM559" s="158"/>
      <c r="AN559" s="158"/>
      <c r="AO559" s="158"/>
    </row>
    <row r="560">
      <c r="AM560" s="158"/>
      <c r="AN560" s="158"/>
      <c r="AO560" s="158"/>
    </row>
    <row r="561">
      <c r="AM561" s="158"/>
      <c r="AN561" s="158"/>
      <c r="AO561" s="158"/>
    </row>
    <row r="562">
      <c r="AM562" s="158"/>
      <c r="AN562" s="158"/>
      <c r="AO562" s="158"/>
    </row>
    <row r="563">
      <c r="AM563" s="158"/>
      <c r="AN563" s="158"/>
      <c r="AO563" s="158"/>
    </row>
    <row r="564">
      <c r="AM564" s="158"/>
      <c r="AN564" s="158"/>
      <c r="AO564" s="158"/>
    </row>
    <row r="565">
      <c r="AM565" s="158"/>
      <c r="AN565" s="158"/>
      <c r="AO565" s="158"/>
    </row>
    <row r="566">
      <c r="AM566" s="158"/>
      <c r="AN566" s="158"/>
      <c r="AO566" s="158"/>
    </row>
    <row r="567">
      <c r="AM567" s="158"/>
      <c r="AN567" s="158"/>
      <c r="AO567" s="158"/>
    </row>
    <row r="568">
      <c r="AM568" s="158"/>
      <c r="AN568" s="158"/>
      <c r="AO568" s="158"/>
    </row>
    <row r="569">
      <c r="AM569" s="158"/>
      <c r="AN569" s="158"/>
      <c r="AO569" s="158"/>
    </row>
    <row r="570">
      <c r="AM570" s="158"/>
      <c r="AN570" s="158"/>
      <c r="AO570" s="158"/>
    </row>
    <row r="571">
      <c r="AM571" s="158"/>
      <c r="AN571" s="158"/>
      <c r="AO571" s="158"/>
    </row>
    <row r="572">
      <c r="AM572" s="158"/>
      <c r="AN572" s="158"/>
      <c r="AO572" s="158"/>
    </row>
    <row r="573">
      <c r="AM573" s="158"/>
      <c r="AN573" s="158"/>
      <c r="AO573" s="158"/>
    </row>
    <row r="574">
      <c r="AM574" s="158"/>
      <c r="AN574" s="158"/>
      <c r="AO574" s="158"/>
    </row>
    <row r="575">
      <c r="AM575" s="158"/>
      <c r="AN575" s="158"/>
      <c r="AO575" s="158"/>
    </row>
    <row r="576">
      <c r="AM576" s="158"/>
      <c r="AN576" s="158"/>
      <c r="AO576" s="158"/>
    </row>
    <row r="577">
      <c r="AM577" s="158"/>
      <c r="AN577" s="158"/>
      <c r="AO577" s="158"/>
    </row>
    <row r="578">
      <c r="AM578" s="158"/>
      <c r="AN578" s="158"/>
      <c r="AO578" s="158"/>
    </row>
    <row r="579">
      <c r="AM579" s="158"/>
      <c r="AN579" s="158"/>
      <c r="AO579" s="158"/>
    </row>
    <row r="580">
      <c r="AM580" s="158"/>
      <c r="AN580" s="158"/>
      <c r="AO580" s="158"/>
    </row>
    <row r="581">
      <c r="AM581" s="158"/>
      <c r="AN581" s="158"/>
      <c r="AO581" s="158"/>
    </row>
    <row r="582">
      <c r="AM582" s="158"/>
      <c r="AN582" s="158"/>
      <c r="AO582" s="158"/>
    </row>
    <row r="583">
      <c r="AM583" s="158"/>
      <c r="AN583" s="158"/>
      <c r="AO583" s="158"/>
    </row>
    <row r="584">
      <c r="AM584" s="158"/>
      <c r="AN584" s="158"/>
      <c r="AO584" s="158"/>
    </row>
    <row r="585">
      <c r="AM585" s="158"/>
      <c r="AN585" s="158"/>
      <c r="AO585" s="158"/>
    </row>
    <row r="586">
      <c r="AM586" s="158"/>
      <c r="AN586" s="158"/>
      <c r="AO586" s="158"/>
    </row>
    <row r="587">
      <c r="AM587" s="158"/>
      <c r="AN587" s="158"/>
      <c r="AO587" s="158"/>
    </row>
    <row r="588">
      <c r="AM588" s="158"/>
      <c r="AN588" s="158"/>
      <c r="AO588" s="158"/>
    </row>
    <row r="589">
      <c r="AM589" s="158"/>
      <c r="AN589" s="158"/>
      <c r="AO589" s="158"/>
    </row>
    <row r="590">
      <c r="AM590" s="158"/>
      <c r="AN590" s="158"/>
      <c r="AO590" s="158"/>
    </row>
    <row r="591">
      <c r="AM591" s="158"/>
      <c r="AN591" s="158"/>
      <c r="AO591" s="158"/>
    </row>
    <row r="592">
      <c r="AM592" s="158"/>
      <c r="AN592" s="158"/>
      <c r="AO592" s="158"/>
    </row>
    <row r="593">
      <c r="AM593" s="158"/>
      <c r="AN593" s="158"/>
      <c r="AO593" s="158"/>
    </row>
    <row r="594">
      <c r="AM594" s="158"/>
      <c r="AN594" s="158"/>
      <c r="AO594" s="158"/>
    </row>
    <row r="595">
      <c r="AM595" s="158"/>
      <c r="AN595" s="158"/>
      <c r="AO595" s="158"/>
    </row>
    <row r="596">
      <c r="AM596" s="158"/>
      <c r="AN596" s="158"/>
      <c r="AO596" s="158"/>
    </row>
    <row r="597">
      <c r="AM597" s="158"/>
      <c r="AN597" s="158"/>
      <c r="AO597" s="158"/>
    </row>
    <row r="598">
      <c r="AM598" s="158"/>
      <c r="AN598" s="158"/>
      <c r="AO598" s="158"/>
    </row>
    <row r="599">
      <c r="AM599" s="158"/>
      <c r="AN599" s="158"/>
      <c r="AO599" s="158"/>
    </row>
    <row r="600">
      <c r="AM600" s="158"/>
      <c r="AN600" s="158"/>
      <c r="AO600" s="158"/>
    </row>
    <row r="601">
      <c r="AM601" s="158"/>
      <c r="AN601" s="158"/>
      <c r="AO601" s="158"/>
    </row>
    <row r="602">
      <c r="AM602" s="158"/>
      <c r="AN602" s="158"/>
      <c r="AO602" s="158"/>
    </row>
    <row r="603">
      <c r="AM603" s="158"/>
      <c r="AN603" s="158"/>
      <c r="AO603" s="158"/>
    </row>
    <row r="604">
      <c r="AM604" s="158"/>
      <c r="AN604" s="158"/>
      <c r="AO604" s="158"/>
    </row>
    <row r="605">
      <c r="AM605" s="158"/>
      <c r="AN605" s="158"/>
      <c r="AO605" s="158"/>
    </row>
    <row r="606">
      <c r="AM606" s="158"/>
      <c r="AN606" s="158"/>
      <c r="AO606" s="158"/>
    </row>
    <row r="607">
      <c r="AM607" s="158"/>
      <c r="AN607" s="158"/>
      <c r="AO607" s="158"/>
    </row>
    <row r="608">
      <c r="AM608" s="158"/>
      <c r="AN608" s="158"/>
      <c r="AO608" s="158"/>
    </row>
    <row r="609">
      <c r="AM609" s="158"/>
      <c r="AN609" s="158"/>
      <c r="AO609" s="158"/>
    </row>
    <row r="610">
      <c r="AM610" s="158"/>
      <c r="AN610" s="158"/>
      <c r="AO610" s="158"/>
    </row>
    <row r="611">
      <c r="AM611" s="158"/>
      <c r="AN611" s="158"/>
      <c r="AO611" s="158"/>
    </row>
    <row r="612">
      <c r="AM612" s="158"/>
      <c r="AN612" s="158"/>
      <c r="AO612" s="158"/>
    </row>
    <row r="613">
      <c r="AM613" s="158"/>
      <c r="AN613" s="158"/>
      <c r="AO613" s="158"/>
    </row>
    <row r="614">
      <c r="AM614" s="158"/>
      <c r="AN614" s="158"/>
      <c r="AO614" s="158"/>
    </row>
    <row r="615">
      <c r="AM615" s="158"/>
      <c r="AN615" s="158"/>
      <c r="AO615" s="158"/>
    </row>
    <row r="616">
      <c r="AM616" s="158"/>
      <c r="AN616" s="158"/>
      <c r="AO616" s="158"/>
    </row>
    <row r="617">
      <c r="AM617" s="158"/>
      <c r="AN617" s="158"/>
      <c r="AO617" s="158"/>
    </row>
    <row r="618">
      <c r="AM618" s="158"/>
      <c r="AN618" s="158"/>
      <c r="AO618" s="158"/>
    </row>
    <row r="619">
      <c r="AM619" s="158"/>
      <c r="AN619" s="158"/>
      <c r="AO619" s="158"/>
    </row>
    <row r="620">
      <c r="AM620" s="158"/>
      <c r="AN620" s="158"/>
      <c r="AO620" s="158"/>
    </row>
    <row r="621">
      <c r="AM621" s="158"/>
      <c r="AN621" s="158"/>
      <c r="AO621" s="158"/>
    </row>
    <row r="622">
      <c r="AM622" s="158"/>
      <c r="AN622" s="158"/>
      <c r="AO622" s="158"/>
    </row>
    <row r="623">
      <c r="AM623" s="158"/>
      <c r="AN623" s="158"/>
      <c r="AO623" s="158"/>
    </row>
    <row r="624">
      <c r="AM624" s="158"/>
      <c r="AN624" s="158"/>
      <c r="AO624" s="158"/>
    </row>
    <row r="625">
      <c r="AM625" s="158"/>
      <c r="AN625" s="158"/>
      <c r="AO625" s="158"/>
    </row>
    <row r="626">
      <c r="AM626" s="158"/>
      <c r="AN626" s="158"/>
      <c r="AO626" s="158"/>
    </row>
    <row r="627">
      <c r="AM627" s="158"/>
      <c r="AN627" s="158"/>
      <c r="AO627" s="158"/>
    </row>
    <row r="628">
      <c r="AM628" s="158"/>
      <c r="AN628" s="158"/>
      <c r="AO628" s="158"/>
    </row>
    <row r="629">
      <c r="AM629" s="158"/>
      <c r="AN629" s="158"/>
      <c r="AO629" s="158"/>
    </row>
    <row r="630">
      <c r="AM630" s="158"/>
      <c r="AN630" s="158"/>
      <c r="AO630" s="158"/>
    </row>
    <row r="631">
      <c r="AM631" s="158"/>
      <c r="AN631" s="158"/>
      <c r="AO631" s="158"/>
    </row>
    <row r="632">
      <c r="AM632" s="158"/>
      <c r="AN632" s="158"/>
      <c r="AO632" s="158"/>
    </row>
    <row r="633">
      <c r="AM633" s="158"/>
      <c r="AN633" s="158"/>
      <c r="AO633" s="158"/>
    </row>
    <row r="634">
      <c r="AM634" s="158"/>
      <c r="AN634" s="158"/>
      <c r="AO634" s="158"/>
    </row>
    <row r="635">
      <c r="AM635" s="158"/>
      <c r="AN635" s="158"/>
      <c r="AO635" s="158"/>
    </row>
    <row r="636">
      <c r="AM636" s="158"/>
      <c r="AN636" s="158"/>
      <c r="AO636" s="158"/>
    </row>
    <row r="637">
      <c r="AM637" s="158"/>
      <c r="AN637" s="158"/>
      <c r="AO637" s="158"/>
    </row>
    <row r="638">
      <c r="AM638" s="158"/>
      <c r="AN638" s="158"/>
      <c r="AO638" s="158"/>
    </row>
    <row r="639">
      <c r="AM639" s="158"/>
      <c r="AN639" s="158"/>
      <c r="AO639" s="158"/>
    </row>
    <row r="640">
      <c r="AM640" s="158"/>
      <c r="AN640" s="158"/>
      <c r="AO640" s="158"/>
    </row>
    <row r="641">
      <c r="AM641" s="158"/>
      <c r="AN641" s="158"/>
      <c r="AO641" s="158"/>
    </row>
    <row r="642">
      <c r="AM642" s="158"/>
      <c r="AN642" s="158"/>
      <c r="AO642" s="158"/>
    </row>
    <row r="643">
      <c r="AM643" s="158"/>
      <c r="AN643" s="158"/>
      <c r="AO643" s="158"/>
    </row>
    <row r="644">
      <c r="AM644" s="158"/>
      <c r="AN644" s="158"/>
      <c r="AO644" s="158"/>
    </row>
    <row r="645">
      <c r="AM645" s="158"/>
      <c r="AN645" s="158"/>
      <c r="AO645" s="158"/>
    </row>
    <row r="646">
      <c r="AM646" s="158"/>
      <c r="AN646" s="158"/>
      <c r="AO646" s="158"/>
    </row>
    <row r="647">
      <c r="AM647" s="158"/>
      <c r="AN647" s="158"/>
      <c r="AO647" s="158"/>
    </row>
    <row r="648">
      <c r="AM648" s="158"/>
      <c r="AN648" s="158"/>
      <c r="AO648" s="158"/>
    </row>
    <row r="649">
      <c r="AM649" s="158"/>
      <c r="AN649" s="158"/>
      <c r="AO649" s="158"/>
    </row>
    <row r="650">
      <c r="AM650" s="158"/>
      <c r="AN650" s="158"/>
      <c r="AO650" s="158"/>
    </row>
    <row r="651">
      <c r="AM651" s="158"/>
      <c r="AN651" s="158"/>
      <c r="AO651" s="158"/>
    </row>
    <row r="652">
      <c r="AM652" s="158"/>
      <c r="AN652" s="158"/>
      <c r="AO652" s="158"/>
    </row>
    <row r="653">
      <c r="AM653" s="158"/>
      <c r="AN653" s="158"/>
      <c r="AO653" s="158"/>
    </row>
    <row r="654">
      <c r="AM654" s="158"/>
      <c r="AN654" s="158"/>
      <c r="AO654" s="158"/>
    </row>
    <row r="655">
      <c r="AM655" s="158"/>
      <c r="AN655" s="158"/>
      <c r="AO655" s="158"/>
    </row>
    <row r="656">
      <c r="AM656" s="158"/>
      <c r="AN656" s="158"/>
      <c r="AO656" s="158"/>
    </row>
    <row r="657">
      <c r="AM657" s="158"/>
      <c r="AN657" s="158"/>
      <c r="AO657" s="158"/>
    </row>
    <row r="658">
      <c r="AM658" s="158"/>
      <c r="AN658" s="158"/>
      <c r="AO658" s="158"/>
    </row>
    <row r="659">
      <c r="AM659" s="158"/>
      <c r="AN659" s="158"/>
      <c r="AO659" s="158"/>
    </row>
    <row r="660">
      <c r="AM660" s="158"/>
      <c r="AN660" s="158"/>
      <c r="AO660" s="158"/>
    </row>
    <row r="661">
      <c r="AM661" s="158"/>
      <c r="AN661" s="158"/>
      <c r="AO661" s="158"/>
    </row>
    <row r="662">
      <c r="AM662" s="158"/>
      <c r="AN662" s="158"/>
      <c r="AO662" s="158"/>
    </row>
    <row r="663">
      <c r="AM663" s="158"/>
      <c r="AN663" s="158"/>
      <c r="AO663" s="158"/>
    </row>
    <row r="664">
      <c r="AM664" s="158"/>
      <c r="AN664" s="158"/>
      <c r="AO664" s="158"/>
    </row>
    <row r="665">
      <c r="AM665" s="158"/>
      <c r="AN665" s="158"/>
      <c r="AO665" s="158"/>
    </row>
    <row r="666">
      <c r="AM666" s="158"/>
      <c r="AN666" s="158"/>
      <c r="AO666" s="158"/>
    </row>
    <row r="667">
      <c r="AM667" s="158"/>
      <c r="AN667" s="158"/>
      <c r="AO667" s="158"/>
    </row>
    <row r="668">
      <c r="AM668" s="158"/>
      <c r="AN668" s="158"/>
      <c r="AO668" s="158"/>
    </row>
    <row r="669">
      <c r="AM669" s="158"/>
      <c r="AN669" s="158"/>
      <c r="AO669" s="158"/>
    </row>
    <row r="670">
      <c r="AM670" s="158"/>
      <c r="AN670" s="158"/>
      <c r="AO670" s="158"/>
    </row>
    <row r="671">
      <c r="AM671" s="158"/>
      <c r="AN671" s="158"/>
      <c r="AO671" s="158"/>
    </row>
    <row r="672">
      <c r="AM672" s="158"/>
      <c r="AN672" s="158"/>
      <c r="AO672" s="158"/>
    </row>
    <row r="673">
      <c r="AM673" s="158"/>
      <c r="AN673" s="158"/>
      <c r="AO673" s="158"/>
    </row>
    <row r="674">
      <c r="AM674" s="158"/>
      <c r="AN674" s="158"/>
      <c r="AO674" s="158"/>
    </row>
    <row r="675">
      <c r="AM675" s="158"/>
      <c r="AN675" s="158"/>
      <c r="AO675" s="158"/>
    </row>
    <row r="676">
      <c r="AM676" s="158"/>
      <c r="AN676" s="158"/>
      <c r="AO676" s="158"/>
    </row>
    <row r="677">
      <c r="AM677" s="158"/>
      <c r="AN677" s="158"/>
      <c r="AO677" s="158"/>
    </row>
    <row r="678">
      <c r="AM678" s="158"/>
      <c r="AN678" s="158"/>
      <c r="AO678" s="158"/>
    </row>
    <row r="679">
      <c r="AM679" s="158"/>
      <c r="AN679" s="158"/>
      <c r="AO679" s="158"/>
    </row>
    <row r="680">
      <c r="AM680" s="158"/>
      <c r="AN680" s="158"/>
      <c r="AO680" s="158"/>
    </row>
    <row r="681">
      <c r="AM681" s="158"/>
      <c r="AN681" s="158"/>
      <c r="AO681" s="158"/>
    </row>
    <row r="682">
      <c r="AM682" s="158"/>
      <c r="AN682" s="158"/>
      <c r="AO682" s="158"/>
    </row>
    <row r="683">
      <c r="AM683" s="158"/>
      <c r="AN683" s="158"/>
      <c r="AO683" s="158"/>
    </row>
    <row r="684">
      <c r="AM684" s="158"/>
      <c r="AN684" s="158"/>
      <c r="AO684" s="158"/>
    </row>
    <row r="685">
      <c r="AM685" s="158"/>
      <c r="AN685" s="158"/>
      <c r="AO685" s="158"/>
    </row>
    <row r="686">
      <c r="AM686" s="158"/>
      <c r="AN686" s="158"/>
      <c r="AO686" s="158"/>
    </row>
    <row r="687">
      <c r="AM687" s="158"/>
      <c r="AN687" s="158"/>
      <c r="AO687" s="158"/>
    </row>
    <row r="688">
      <c r="AM688" s="158"/>
      <c r="AN688" s="158"/>
      <c r="AO688" s="158"/>
    </row>
    <row r="689">
      <c r="AM689" s="158"/>
      <c r="AN689" s="158"/>
      <c r="AO689" s="158"/>
    </row>
    <row r="690">
      <c r="AM690" s="158"/>
      <c r="AN690" s="158"/>
      <c r="AO690" s="158"/>
    </row>
    <row r="691">
      <c r="AM691" s="158"/>
      <c r="AN691" s="158"/>
      <c r="AO691" s="158"/>
    </row>
    <row r="692">
      <c r="AM692" s="158"/>
      <c r="AN692" s="158"/>
      <c r="AO692" s="158"/>
    </row>
    <row r="693">
      <c r="AM693" s="158"/>
      <c r="AN693" s="158"/>
      <c r="AO693" s="158"/>
    </row>
    <row r="694">
      <c r="AM694" s="158"/>
      <c r="AN694" s="158"/>
      <c r="AO694" s="158"/>
    </row>
    <row r="695">
      <c r="AM695" s="158"/>
      <c r="AN695" s="158"/>
      <c r="AO695" s="158"/>
    </row>
    <row r="696">
      <c r="AM696" s="158"/>
      <c r="AN696" s="158"/>
      <c r="AO696" s="158"/>
    </row>
    <row r="697">
      <c r="AM697" s="158"/>
      <c r="AN697" s="158"/>
      <c r="AO697" s="158"/>
    </row>
    <row r="698">
      <c r="AM698" s="158"/>
      <c r="AN698" s="158"/>
      <c r="AO698" s="158"/>
    </row>
    <row r="699">
      <c r="AM699" s="158"/>
      <c r="AN699" s="158"/>
      <c r="AO699" s="158"/>
    </row>
    <row r="700">
      <c r="AM700" s="158"/>
      <c r="AN700" s="158"/>
      <c r="AO700" s="158"/>
    </row>
    <row r="701">
      <c r="AM701" s="158"/>
      <c r="AN701" s="158"/>
      <c r="AO701" s="158"/>
    </row>
    <row r="702">
      <c r="AM702" s="158"/>
      <c r="AN702" s="158"/>
      <c r="AO702" s="158"/>
    </row>
    <row r="703">
      <c r="AM703" s="158"/>
      <c r="AN703" s="158"/>
      <c r="AO703" s="158"/>
    </row>
    <row r="704">
      <c r="AM704" s="158"/>
      <c r="AN704" s="158"/>
      <c r="AO704" s="158"/>
    </row>
    <row r="705">
      <c r="AM705" s="158"/>
      <c r="AN705" s="158"/>
      <c r="AO705" s="158"/>
    </row>
    <row r="706">
      <c r="AM706" s="158"/>
      <c r="AN706" s="158"/>
      <c r="AO706" s="158"/>
    </row>
    <row r="707">
      <c r="AM707" s="158"/>
      <c r="AN707" s="158"/>
      <c r="AO707" s="158"/>
    </row>
    <row r="708">
      <c r="AM708" s="158"/>
      <c r="AN708" s="158"/>
      <c r="AO708" s="158"/>
    </row>
    <row r="709">
      <c r="AM709" s="158"/>
      <c r="AN709" s="158"/>
      <c r="AO709" s="158"/>
    </row>
    <row r="710">
      <c r="AM710" s="158"/>
      <c r="AN710" s="158"/>
      <c r="AO710" s="158"/>
    </row>
    <row r="711">
      <c r="AM711" s="158"/>
      <c r="AN711" s="158"/>
      <c r="AO711" s="158"/>
    </row>
    <row r="712">
      <c r="AM712" s="158"/>
      <c r="AN712" s="158"/>
      <c r="AO712" s="158"/>
    </row>
    <row r="713">
      <c r="AM713" s="158"/>
      <c r="AN713" s="158"/>
      <c r="AO713" s="158"/>
    </row>
    <row r="714">
      <c r="AM714" s="158"/>
      <c r="AN714" s="158"/>
      <c r="AO714" s="158"/>
    </row>
    <row r="715">
      <c r="AM715" s="158"/>
      <c r="AN715" s="158"/>
      <c r="AO715" s="158"/>
    </row>
    <row r="716">
      <c r="AM716" s="158"/>
      <c r="AN716" s="158"/>
      <c r="AO716" s="158"/>
    </row>
    <row r="717">
      <c r="AM717" s="158"/>
      <c r="AN717" s="158"/>
      <c r="AO717" s="158"/>
    </row>
    <row r="718">
      <c r="AM718" s="158"/>
      <c r="AN718" s="158"/>
      <c r="AO718" s="158"/>
    </row>
    <row r="719">
      <c r="AM719" s="158"/>
      <c r="AN719" s="158"/>
      <c r="AO719" s="158"/>
    </row>
    <row r="720">
      <c r="AM720" s="158"/>
      <c r="AN720" s="158"/>
      <c r="AO720" s="158"/>
    </row>
    <row r="721">
      <c r="AM721" s="158"/>
      <c r="AN721" s="158"/>
      <c r="AO721" s="158"/>
    </row>
    <row r="722">
      <c r="AM722" s="158"/>
      <c r="AN722" s="158"/>
      <c r="AO722" s="158"/>
    </row>
    <row r="723">
      <c r="AM723" s="158"/>
      <c r="AN723" s="158"/>
      <c r="AO723" s="158"/>
    </row>
    <row r="724">
      <c r="AM724" s="158"/>
      <c r="AN724" s="158"/>
      <c r="AO724" s="158"/>
    </row>
    <row r="725">
      <c r="AM725" s="158"/>
      <c r="AN725" s="158"/>
      <c r="AO725" s="158"/>
    </row>
    <row r="726">
      <c r="AM726" s="158"/>
      <c r="AN726" s="158"/>
      <c r="AO726" s="158"/>
    </row>
    <row r="727">
      <c r="AM727" s="158"/>
      <c r="AN727" s="158"/>
      <c r="AO727" s="158"/>
    </row>
    <row r="728">
      <c r="AM728" s="158"/>
      <c r="AN728" s="158"/>
      <c r="AO728" s="158"/>
    </row>
    <row r="729">
      <c r="AM729" s="158"/>
      <c r="AN729" s="158"/>
      <c r="AO729" s="158"/>
    </row>
    <row r="730">
      <c r="AM730" s="158"/>
      <c r="AN730" s="158"/>
      <c r="AO730" s="158"/>
    </row>
    <row r="731">
      <c r="AM731" s="158"/>
      <c r="AN731" s="158"/>
      <c r="AO731" s="158"/>
    </row>
    <row r="732">
      <c r="AM732" s="158"/>
      <c r="AN732" s="158"/>
      <c r="AO732" s="158"/>
    </row>
    <row r="733">
      <c r="AM733" s="158"/>
      <c r="AN733" s="158"/>
      <c r="AO733" s="158"/>
    </row>
    <row r="734">
      <c r="AM734" s="158"/>
      <c r="AN734" s="158"/>
      <c r="AO734" s="158"/>
    </row>
    <row r="735">
      <c r="AM735" s="158"/>
      <c r="AN735" s="158"/>
      <c r="AO735" s="158"/>
    </row>
    <row r="736">
      <c r="AM736" s="158"/>
      <c r="AN736" s="158"/>
      <c r="AO736" s="158"/>
    </row>
    <row r="737">
      <c r="AM737" s="158"/>
      <c r="AN737" s="158"/>
      <c r="AO737" s="158"/>
    </row>
    <row r="738">
      <c r="AM738" s="158"/>
      <c r="AN738" s="158"/>
      <c r="AO738" s="158"/>
    </row>
    <row r="739">
      <c r="AM739" s="158"/>
      <c r="AN739" s="158"/>
      <c r="AO739" s="158"/>
    </row>
    <row r="740">
      <c r="AM740" s="158"/>
      <c r="AN740" s="158"/>
      <c r="AO740" s="158"/>
    </row>
    <row r="741">
      <c r="AM741" s="158"/>
      <c r="AN741" s="158"/>
      <c r="AO741" s="158"/>
    </row>
    <row r="742">
      <c r="AM742" s="158"/>
      <c r="AN742" s="158"/>
      <c r="AO742" s="158"/>
    </row>
    <row r="743">
      <c r="AM743" s="158"/>
      <c r="AN743" s="158"/>
      <c r="AO743" s="158"/>
    </row>
    <row r="744">
      <c r="AM744" s="158"/>
      <c r="AN744" s="158"/>
      <c r="AO744" s="158"/>
    </row>
    <row r="745">
      <c r="AM745" s="158"/>
      <c r="AN745" s="158"/>
      <c r="AO745" s="158"/>
    </row>
    <row r="746">
      <c r="AM746" s="158"/>
      <c r="AN746" s="158"/>
      <c r="AO746" s="158"/>
    </row>
    <row r="747">
      <c r="AM747" s="158"/>
      <c r="AN747" s="158"/>
      <c r="AO747" s="158"/>
    </row>
    <row r="748">
      <c r="AM748" s="158"/>
      <c r="AN748" s="158"/>
      <c r="AO748" s="158"/>
    </row>
    <row r="749">
      <c r="AM749" s="158"/>
      <c r="AN749" s="158"/>
      <c r="AO749" s="158"/>
    </row>
    <row r="750">
      <c r="AM750" s="158"/>
      <c r="AN750" s="158"/>
      <c r="AO750" s="158"/>
    </row>
    <row r="751">
      <c r="AM751" s="158"/>
      <c r="AN751" s="158"/>
      <c r="AO751" s="158"/>
    </row>
    <row r="752">
      <c r="AM752" s="158"/>
      <c r="AN752" s="158"/>
      <c r="AO752" s="158"/>
    </row>
    <row r="753">
      <c r="AM753" s="158"/>
      <c r="AN753" s="158"/>
      <c r="AO753" s="158"/>
    </row>
    <row r="754">
      <c r="AM754" s="158"/>
      <c r="AN754" s="158"/>
      <c r="AO754" s="158"/>
    </row>
    <row r="755">
      <c r="AM755" s="158"/>
      <c r="AN755" s="158"/>
      <c r="AO755" s="158"/>
    </row>
    <row r="756">
      <c r="AM756" s="158"/>
      <c r="AN756" s="158"/>
      <c r="AO756" s="158"/>
    </row>
    <row r="757">
      <c r="AM757" s="158"/>
      <c r="AN757" s="158"/>
      <c r="AO757" s="158"/>
    </row>
    <row r="758">
      <c r="AM758" s="158"/>
      <c r="AN758" s="158"/>
      <c r="AO758" s="158"/>
    </row>
    <row r="759">
      <c r="AM759" s="158"/>
      <c r="AN759" s="158"/>
      <c r="AO759" s="158"/>
    </row>
    <row r="760">
      <c r="AM760" s="158"/>
      <c r="AN760" s="158"/>
      <c r="AO760" s="158"/>
    </row>
    <row r="761">
      <c r="AM761" s="158"/>
      <c r="AN761" s="158"/>
      <c r="AO761" s="158"/>
    </row>
    <row r="762">
      <c r="AM762" s="158"/>
      <c r="AN762" s="158"/>
      <c r="AO762" s="158"/>
    </row>
    <row r="763">
      <c r="AM763" s="158"/>
      <c r="AN763" s="158"/>
      <c r="AO763" s="158"/>
    </row>
    <row r="764">
      <c r="AM764" s="158"/>
      <c r="AN764" s="158"/>
      <c r="AO764" s="158"/>
    </row>
    <row r="765">
      <c r="AM765" s="158"/>
      <c r="AN765" s="158"/>
      <c r="AO765" s="158"/>
    </row>
    <row r="766">
      <c r="AM766" s="158"/>
      <c r="AN766" s="158"/>
      <c r="AO766" s="158"/>
    </row>
    <row r="767">
      <c r="AM767" s="158"/>
      <c r="AN767" s="158"/>
      <c r="AO767" s="158"/>
    </row>
    <row r="768">
      <c r="AM768" s="158"/>
      <c r="AN768" s="158"/>
      <c r="AO768" s="158"/>
    </row>
    <row r="769">
      <c r="AM769" s="158"/>
      <c r="AN769" s="158"/>
      <c r="AO769" s="158"/>
    </row>
    <row r="770">
      <c r="AM770" s="158"/>
      <c r="AN770" s="158"/>
      <c r="AO770" s="158"/>
    </row>
    <row r="771">
      <c r="AM771" s="158"/>
      <c r="AN771" s="158"/>
      <c r="AO771" s="158"/>
    </row>
    <row r="772">
      <c r="AM772" s="158"/>
      <c r="AN772" s="158"/>
      <c r="AO772" s="158"/>
    </row>
    <row r="773">
      <c r="AM773" s="158"/>
      <c r="AN773" s="158"/>
      <c r="AO773" s="158"/>
    </row>
    <row r="774">
      <c r="AM774" s="158"/>
      <c r="AN774" s="158"/>
      <c r="AO774" s="158"/>
    </row>
    <row r="775">
      <c r="AM775" s="158"/>
      <c r="AN775" s="158"/>
      <c r="AO775" s="158"/>
    </row>
    <row r="776">
      <c r="AM776" s="158"/>
      <c r="AN776" s="158"/>
      <c r="AO776" s="158"/>
    </row>
    <row r="777">
      <c r="AM777" s="158"/>
      <c r="AN777" s="158"/>
      <c r="AO777" s="158"/>
    </row>
    <row r="778">
      <c r="AM778" s="158"/>
      <c r="AN778" s="158"/>
      <c r="AO778" s="158"/>
    </row>
    <row r="779">
      <c r="AM779" s="158"/>
      <c r="AN779" s="158"/>
      <c r="AO779" s="158"/>
    </row>
    <row r="780">
      <c r="AM780" s="158"/>
      <c r="AN780" s="158"/>
      <c r="AO780" s="158"/>
    </row>
    <row r="781">
      <c r="AM781" s="158"/>
      <c r="AN781" s="158"/>
      <c r="AO781" s="158"/>
    </row>
    <row r="782">
      <c r="AM782" s="158"/>
      <c r="AN782" s="158"/>
      <c r="AO782" s="158"/>
    </row>
    <row r="783">
      <c r="AM783" s="158"/>
      <c r="AN783" s="158"/>
      <c r="AO783" s="158"/>
    </row>
    <row r="784">
      <c r="AM784" s="158"/>
      <c r="AN784" s="158"/>
      <c r="AO784" s="158"/>
    </row>
    <row r="785">
      <c r="AM785" s="158"/>
      <c r="AN785" s="158"/>
      <c r="AO785" s="158"/>
    </row>
    <row r="786">
      <c r="AM786" s="158"/>
      <c r="AN786" s="158"/>
      <c r="AO786" s="158"/>
    </row>
    <row r="787">
      <c r="AM787" s="158"/>
      <c r="AN787" s="158"/>
      <c r="AO787" s="158"/>
    </row>
    <row r="788">
      <c r="AM788" s="158"/>
      <c r="AN788" s="158"/>
      <c r="AO788" s="158"/>
    </row>
    <row r="789">
      <c r="AM789" s="158"/>
      <c r="AN789" s="158"/>
      <c r="AO789" s="158"/>
    </row>
    <row r="790">
      <c r="AM790" s="158"/>
      <c r="AN790" s="158"/>
      <c r="AO790" s="158"/>
    </row>
    <row r="791">
      <c r="AM791" s="158"/>
      <c r="AN791" s="158"/>
      <c r="AO791" s="158"/>
    </row>
    <row r="792">
      <c r="AM792" s="158"/>
      <c r="AN792" s="158"/>
      <c r="AO792" s="158"/>
    </row>
    <row r="793">
      <c r="AM793" s="158"/>
      <c r="AN793" s="158"/>
      <c r="AO793" s="158"/>
    </row>
    <row r="794">
      <c r="AM794" s="158"/>
      <c r="AN794" s="158"/>
      <c r="AO794" s="158"/>
    </row>
    <row r="795">
      <c r="AM795" s="158"/>
      <c r="AN795" s="158"/>
      <c r="AO795" s="158"/>
    </row>
    <row r="796">
      <c r="AM796" s="158"/>
      <c r="AN796" s="158"/>
      <c r="AO796" s="158"/>
    </row>
    <row r="797">
      <c r="AM797" s="158"/>
      <c r="AN797" s="158"/>
      <c r="AO797" s="158"/>
    </row>
    <row r="798">
      <c r="AM798" s="158"/>
      <c r="AN798" s="158"/>
      <c r="AO798" s="158"/>
    </row>
    <row r="799">
      <c r="AM799" s="158"/>
      <c r="AN799" s="158"/>
      <c r="AO799" s="158"/>
    </row>
    <row r="800">
      <c r="AM800" s="158"/>
      <c r="AN800" s="158"/>
      <c r="AO800" s="158"/>
    </row>
    <row r="801">
      <c r="AM801" s="158"/>
      <c r="AN801" s="158"/>
      <c r="AO801" s="158"/>
    </row>
    <row r="802">
      <c r="AM802" s="158"/>
      <c r="AN802" s="158"/>
      <c r="AO802" s="158"/>
    </row>
    <row r="803">
      <c r="AM803" s="158"/>
      <c r="AN803" s="158"/>
      <c r="AO803" s="158"/>
    </row>
    <row r="804">
      <c r="AM804" s="158"/>
      <c r="AN804" s="158"/>
      <c r="AO804" s="158"/>
    </row>
    <row r="805">
      <c r="AM805" s="158"/>
      <c r="AN805" s="158"/>
      <c r="AO805" s="158"/>
    </row>
    <row r="806">
      <c r="AM806" s="158"/>
      <c r="AN806" s="158"/>
      <c r="AO806" s="158"/>
    </row>
    <row r="807">
      <c r="AM807" s="158"/>
      <c r="AN807" s="158"/>
      <c r="AO807" s="158"/>
    </row>
    <row r="808">
      <c r="AM808" s="158"/>
      <c r="AN808" s="158"/>
      <c r="AO808" s="158"/>
    </row>
    <row r="809">
      <c r="AM809" s="158"/>
      <c r="AN809" s="158"/>
      <c r="AO809" s="158"/>
    </row>
    <row r="810">
      <c r="AM810" s="158"/>
      <c r="AN810" s="158"/>
      <c r="AO810" s="158"/>
    </row>
    <row r="811">
      <c r="AM811" s="158"/>
      <c r="AN811" s="158"/>
      <c r="AO811" s="158"/>
    </row>
    <row r="812">
      <c r="AM812" s="158"/>
      <c r="AN812" s="158"/>
      <c r="AO812" s="158"/>
    </row>
    <row r="813">
      <c r="AM813" s="158"/>
      <c r="AN813" s="158"/>
      <c r="AO813" s="158"/>
    </row>
    <row r="814">
      <c r="AM814" s="158"/>
      <c r="AN814" s="158"/>
      <c r="AO814" s="158"/>
    </row>
    <row r="815">
      <c r="AM815" s="158"/>
      <c r="AN815" s="158"/>
      <c r="AO815" s="158"/>
    </row>
    <row r="816">
      <c r="AM816" s="158"/>
      <c r="AN816" s="158"/>
      <c r="AO816" s="158"/>
    </row>
    <row r="817">
      <c r="AM817" s="158"/>
      <c r="AN817" s="158"/>
      <c r="AO817" s="158"/>
    </row>
    <row r="818">
      <c r="AM818" s="158"/>
      <c r="AN818" s="158"/>
      <c r="AO818" s="158"/>
    </row>
    <row r="819">
      <c r="AM819" s="158"/>
      <c r="AN819" s="158"/>
      <c r="AO819" s="158"/>
    </row>
    <row r="820">
      <c r="AM820" s="158"/>
      <c r="AN820" s="158"/>
      <c r="AO820" s="158"/>
    </row>
    <row r="821">
      <c r="AM821" s="158"/>
      <c r="AN821" s="158"/>
      <c r="AO821" s="158"/>
    </row>
    <row r="822">
      <c r="AM822" s="158"/>
      <c r="AN822" s="158"/>
      <c r="AO822" s="158"/>
    </row>
    <row r="823">
      <c r="AM823" s="158"/>
      <c r="AN823" s="158"/>
      <c r="AO823" s="158"/>
    </row>
    <row r="824">
      <c r="AM824" s="158"/>
      <c r="AN824" s="158"/>
      <c r="AO824" s="158"/>
    </row>
    <row r="825">
      <c r="AM825" s="158"/>
      <c r="AN825" s="158"/>
      <c r="AO825" s="158"/>
    </row>
    <row r="826">
      <c r="AM826" s="158"/>
      <c r="AN826" s="158"/>
      <c r="AO826" s="158"/>
    </row>
    <row r="827">
      <c r="AM827" s="158"/>
      <c r="AN827" s="158"/>
      <c r="AO827" s="158"/>
    </row>
    <row r="828">
      <c r="AM828" s="158"/>
      <c r="AN828" s="158"/>
      <c r="AO828" s="158"/>
    </row>
    <row r="829">
      <c r="AM829" s="158"/>
      <c r="AN829" s="158"/>
      <c r="AO829" s="158"/>
    </row>
    <row r="830">
      <c r="AM830" s="158"/>
      <c r="AN830" s="158"/>
      <c r="AO830" s="158"/>
    </row>
    <row r="831">
      <c r="AM831" s="158"/>
      <c r="AN831" s="158"/>
      <c r="AO831" s="158"/>
    </row>
    <row r="832">
      <c r="AM832" s="158"/>
      <c r="AN832" s="158"/>
      <c r="AO832" s="158"/>
    </row>
    <row r="833">
      <c r="AM833" s="158"/>
      <c r="AN833" s="158"/>
      <c r="AO833" s="158"/>
    </row>
    <row r="834">
      <c r="AM834" s="158"/>
      <c r="AN834" s="158"/>
      <c r="AO834" s="158"/>
    </row>
    <row r="835">
      <c r="AM835" s="158"/>
      <c r="AN835" s="158"/>
      <c r="AO835" s="158"/>
    </row>
    <row r="836">
      <c r="AM836" s="158"/>
      <c r="AN836" s="158"/>
      <c r="AO836" s="158"/>
    </row>
    <row r="837">
      <c r="AM837" s="158"/>
      <c r="AN837" s="158"/>
      <c r="AO837" s="158"/>
    </row>
    <row r="838">
      <c r="AM838" s="158"/>
      <c r="AN838" s="158"/>
      <c r="AO838" s="158"/>
    </row>
    <row r="839">
      <c r="AM839" s="158"/>
      <c r="AN839" s="158"/>
      <c r="AO839" s="158"/>
    </row>
    <row r="840">
      <c r="AM840" s="158"/>
      <c r="AN840" s="158"/>
      <c r="AO840" s="158"/>
    </row>
    <row r="841">
      <c r="AM841" s="158"/>
      <c r="AN841" s="158"/>
      <c r="AO841" s="158"/>
    </row>
    <row r="842">
      <c r="AM842" s="158"/>
      <c r="AN842" s="158"/>
      <c r="AO842" s="158"/>
    </row>
    <row r="843">
      <c r="AM843" s="158"/>
      <c r="AN843" s="158"/>
      <c r="AO843" s="158"/>
    </row>
    <row r="844">
      <c r="AM844" s="158"/>
      <c r="AN844" s="158"/>
      <c r="AO844" s="158"/>
    </row>
    <row r="845">
      <c r="AM845" s="158"/>
      <c r="AN845" s="158"/>
      <c r="AO845" s="158"/>
    </row>
    <row r="846">
      <c r="AM846" s="158"/>
      <c r="AN846" s="158"/>
      <c r="AO846" s="158"/>
    </row>
    <row r="847">
      <c r="AM847" s="158"/>
      <c r="AN847" s="158"/>
      <c r="AO847" s="158"/>
    </row>
    <row r="848">
      <c r="AM848" s="158"/>
      <c r="AN848" s="158"/>
      <c r="AO848" s="158"/>
    </row>
    <row r="849">
      <c r="AM849" s="158"/>
      <c r="AN849" s="158"/>
      <c r="AO849" s="158"/>
    </row>
    <row r="850">
      <c r="AM850" s="158"/>
      <c r="AN850" s="158"/>
      <c r="AO850" s="158"/>
    </row>
    <row r="851">
      <c r="AM851" s="158"/>
      <c r="AN851" s="158"/>
      <c r="AO851" s="158"/>
    </row>
    <row r="852">
      <c r="AM852" s="158"/>
      <c r="AN852" s="158"/>
      <c r="AO852" s="158"/>
    </row>
    <row r="853">
      <c r="AM853" s="158"/>
      <c r="AN853" s="158"/>
      <c r="AO853" s="158"/>
    </row>
    <row r="854">
      <c r="AM854" s="158"/>
      <c r="AN854" s="158"/>
      <c r="AO854" s="158"/>
    </row>
    <row r="855">
      <c r="AM855" s="158"/>
      <c r="AN855" s="158"/>
      <c r="AO855" s="158"/>
    </row>
    <row r="856">
      <c r="AM856" s="158"/>
      <c r="AN856" s="158"/>
      <c r="AO856" s="158"/>
    </row>
    <row r="857">
      <c r="AM857" s="158"/>
      <c r="AN857" s="158"/>
      <c r="AO857" s="158"/>
    </row>
    <row r="858">
      <c r="AM858" s="158"/>
      <c r="AN858" s="158"/>
      <c r="AO858" s="158"/>
    </row>
    <row r="859">
      <c r="AM859" s="158"/>
      <c r="AN859" s="158"/>
      <c r="AO859" s="158"/>
    </row>
    <row r="860">
      <c r="AM860" s="158"/>
      <c r="AN860" s="158"/>
      <c r="AO860" s="158"/>
    </row>
    <row r="861">
      <c r="AM861" s="158"/>
      <c r="AN861" s="158"/>
      <c r="AO861" s="158"/>
    </row>
    <row r="862">
      <c r="AM862" s="158"/>
      <c r="AN862" s="158"/>
      <c r="AO862" s="158"/>
    </row>
    <row r="863">
      <c r="AM863" s="158"/>
      <c r="AN863" s="158"/>
      <c r="AO863" s="158"/>
    </row>
    <row r="864">
      <c r="AM864" s="158"/>
      <c r="AN864" s="158"/>
      <c r="AO864" s="158"/>
    </row>
    <row r="865">
      <c r="AM865" s="158"/>
      <c r="AN865" s="158"/>
      <c r="AO865" s="158"/>
    </row>
    <row r="866">
      <c r="AM866" s="158"/>
      <c r="AN866" s="158"/>
      <c r="AO866" s="158"/>
    </row>
    <row r="867">
      <c r="AM867" s="158"/>
      <c r="AN867" s="158"/>
      <c r="AO867" s="158"/>
    </row>
    <row r="868">
      <c r="AM868" s="158"/>
      <c r="AN868" s="158"/>
      <c r="AO868" s="158"/>
    </row>
    <row r="869">
      <c r="AM869" s="158"/>
      <c r="AN869" s="158"/>
      <c r="AO869" s="158"/>
    </row>
    <row r="870">
      <c r="AM870" s="158"/>
      <c r="AN870" s="158"/>
      <c r="AO870" s="158"/>
    </row>
    <row r="871">
      <c r="AM871" s="158"/>
      <c r="AN871" s="158"/>
      <c r="AO871" s="158"/>
    </row>
    <row r="872">
      <c r="AM872" s="158"/>
      <c r="AN872" s="158"/>
      <c r="AO872" s="158"/>
    </row>
    <row r="873">
      <c r="AM873" s="158"/>
      <c r="AN873" s="158"/>
      <c r="AO873" s="158"/>
    </row>
    <row r="874">
      <c r="AM874" s="158"/>
      <c r="AN874" s="158"/>
      <c r="AO874" s="158"/>
    </row>
    <row r="875">
      <c r="AM875" s="158"/>
      <c r="AN875" s="158"/>
      <c r="AO875" s="158"/>
    </row>
    <row r="876">
      <c r="AM876" s="158"/>
      <c r="AN876" s="158"/>
      <c r="AO876" s="158"/>
    </row>
    <row r="877">
      <c r="AM877" s="158"/>
      <c r="AN877" s="158"/>
      <c r="AO877" s="158"/>
    </row>
    <row r="878">
      <c r="AM878" s="158"/>
      <c r="AN878" s="158"/>
      <c r="AO878" s="158"/>
    </row>
    <row r="879">
      <c r="AM879" s="158"/>
      <c r="AN879" s="158"/>
      <c r="AO879" s="158"/>
    </row>
    <row r="880">
      <c r="AM880" s="158"/>
      <c r="AN880" s="158"/>
      <c r="AO880" s="158"/>
    </row>
    <row r="881">
      <c r="AM881" s="158"/>
      <c r="AN881" s="158"/>
      <c r="AO881" s="158"/>
    </row>
    <row r="882">
      <c r="AM882" s="158"/>
      <c r="AN882" s="158"/>
      <c r="AO882" s="158"/>
    </row>
    <row r="883">
      <c r="AM883" s="158"/>
      <c r="AN883" s="158"/>
      <c r="AO883" s="158"/>
    </row>
    <row r="884">
      <c r="AM884" s="158"/>
      <c r="AN884" s="158"/>
      <c r="AO884" s="158"/>
    </row>
    <row r="885">
      <c r="AM885" s="158"/>
      <c r="AN885" s="158"/>
      <c r="AO885" s="158"/>
    </row>
    <row r="886">
      <c r="AM886" s="158"/>
      <c r="AN886" s="158"/>
      <c r="AO886" s="158"/>
    </row>
    <row r="887">
      <c r="AM887" s="158"/>
      <c r="AN887" s="158"/>
      <c r="AO887" s="158"/>
    </row>
    <row r="888">
      <c r="AM888" s="158"/>
      <c r="AN888" s="158"/>
      <c r="AO888" s="158"/>
    </row>
    <row r="889">
      <c r="AM889" s="158"/>
      <c r="AN889" s="158"/>
      <c r="AO889" s="158"/>
    </row>
    <row r="890">
      <c r="AM890" s="158"/>
      <c r="AN890" s="158"/>
      <c r="AO890" s="158"/>
    </row>
    <row r="891">
      <c r="AM891" s="158"/>
      <c r="AN891" s="158"/>
      <c r="AO891" s="158"/>
    </row>
    <row r="892">
      <c r="AM892" s="158"/>
      <c r="AN892" s="158"/>
      <c r="AO892" s="158"/>
    </row>
    <row r="893">
      <c r="AM893" s="158"/>
      <c r="AN893" s="158"/>
      <c r="AO893" s="158"/>
    </row>
    <row r="894">
      <c r="AM894" s="158"/>
      <c r="AN894" s="158"/>
      <c r="AO894" s="158"/>
    </row>
    <row r="895">
      <c r="AM895" s="158"/>
      <c r="AN895" s="158"/>
      <c r="AO895" s="158"/>
    </row>
    <row r="896">
      <c r="AM896" s="158"/>
      <c r="AN896" s="158"/>
      <c r="AO896" s="158"/>
    </row>
    <row r="897">
      <c r="AM897" s="158"/>
      <c r="AN897" s="158"/>
      <c r="AO897" s="158"/>
    </row>
    <row r="898">
      <c r="AM898" s="158"/>
      <c r="AN898" s="158"/>
      <c r="AO898" s="158"/>
    </row>
    <row r="899">
      <c r="AM899" s="158"/>
      <c r="AN899" s="158"/>
      <c r="AO899" s="158"/>
    </row>
    <row r="900">
      <c r="AM900" s="158"/>
      <c r="AN900" s="158"/>
      <c r="AO900" s="158"/>
    </row>
    <row r="901">
      <c r="AM901" s="158"/>
      <c r="AN901" s="158"/>
      <c r="AO901" s="158"/>
    </row>
    <row r="902">
      <c r="AM902" s="158"/>
      <c r="AN902" s="158"/>
      <c r="AO902" s="158"/>
    </row>
    <row r="903">
      <c r="AM903" s="158"/>
      <c r="AN903" s="158"/>
      <c r="AO903" s="158"/>
    </row>
    <row r="904">
      <c r="AM904" s="158"/>
      <c r="AN904" s="158"/>
      <c r="AO904" s="158"/>
    </row>
    <row r="905">
      <c r="AM905" s="158"/>
      <c r="AN905" s="158"/>
      <c r="AO905" s="158"/>
    </row>
    <row r="906">
      <c r="AM906" s="158"/>
      <c r="AN906" s="158"/>
      <c r="AO906" s="158"/>
    </row>
    <row r="907">
      <c r="AM907" s="158"/>
      <c r="AN907" s="158"/>
      <c r="AO907" s="158"/>
    </row>
    <row r="908">
      <c r="AM908" s="158"/>
      <c r="AN908" s="158"/>
      <c r="AO908" s="158"/>
    </row>
    <row r="909">
      <c r="AM909" s="158"/>
      <c r="AN909" s="158"/>
      <c r="AO909" s="158"/>
    </row>
    <row r="910">
      <c r="AM910" s="158"/>
      <c r="AN910" s="158"/>
      <c r="AO910" s="158"/>
    </row>
    <row r="911">
      <c r="AM911" s="158"/>
      <c r="AN911" s="158"/>
      <c r="AO911" s="158"/>
    </row>
    <row r="912">
      <c r="AM912" s="158"/>
      <c r="AN912" s="158"/>
      <c r="AO912" s="158"/>
    </row>
    <row r="913">
      <c r="AM913" s="158"/>
      <c r="AN913" s="158"/>
      <c r="AO913" s="158"/>
    </row>
    <row r="914">
      <c r="AM914" s="158"/>
      <c r="AN914" s="158"/>
      <c r="AO914" s="158"/>
    </row>
    <row r="915">
      <c r="AM915" s="158"/>
      <c r="AN915" s="158"/>
      <c r="AO915" s="158"/>
    </row>
    <row r="916">
      <c r="AM916" s="158"/>
      <c r="AN916" s="158"/>
      <c r="AO916" s="158"/>
    </row>
    <row r="917">
      <c r="AM917" s="158"/>
      <c r="AN917" s="158"/>
      <c r="AO917" s="158"/>
    </row>
    <row r="918">
      <c r="AM918" s="158"/>
      <c r="AN918" s="158"/>
      <c r="AO918" s="158"/>
    </row>
    <row r="919">
      <c r="AM919" s="158"/>
      <c r="AN919" s="158"/>
      <c r="AO919" s="158"/>
    </row>
    <row r="920">
      <c r="AM920" s="158"/>
      <c r="AN920" s="158"/>
      <c r="AO920" s="158"/>
    </row>
    <row r="921">
      <c r="AM921" s="158"/>
      <c r="AN921" s="158"/>
      <c r="AO921" s="158"/>
    </row>
    <row r="922">
      <c r="AM922" s="158"/>
      <c r="AN922" s="158"/>
      <c r="AO922" s="158"/>
    </row>
    <row r="923">
      <c r="AM923" s="158"/>
      <c r="AN923" s="158"/>
      <c r="AO923" s="158"/>
    </row>
    <row r="924">
      <c r="AM924" s="158"/>
      <c r="AN924" s="158"/>
      <c r="AO924" s="158"/>
    </row>
    <row r="925">
      <c r="AM925" s="158"/>
      <c r="AN925" s="158"/>
      <c r="AO925" s="158"/>
    </row>
    <row r="926">
      <c r="AM926" s="158"/>
      <c r="AN926" s="158"/>
      <c r="AO926" s="158"/>
    </row>
    <row r="927">
      <c r="AM927" s="158"/>
      <c r="AN927" s="158"/>
      <c r="AO927" s="158"/>
    </row>
    <row r="928">
      <c r="AM928" s="158"/>
      <c r="AN928" s="158"/>
      <c r="AO928" s="158"/>
    </row>
    <row r="929">
      <c r="AM929" s="158"/>
      <c r="AN929" s="158"/>
      <c r="AO929" s="158"/>
    </row>
    <row r="930">
      <c r="AM930" s="158"/>
      <c r="AN930" s="158"/>
      <c r="AO930" s="158"/>
    </row>
    <row r="931">
      <c r="AM931" s="158"/>
      <c r="AN931" s="158"/>
      <c r="AO931" s="158"/>
    </row>
    <row r="932">
      <c r="AM932" s="158"/>
      <c r="AN932" s="158"/>
      <c r="AO932" s="158"/>
    </row>
    <row r="933">
      <c r="AM933" s="158"/>
      <c r="AN933" s="158"/>
      <c r="AO933" s="158"/>
    </row>
    <row r="934">
      <c r="AM934" s="158"/>
      <c r="AN934" s="158"/>
      <c r="AO934" s="158"/>
    </row>
    <row r="935">
      <c r="AM935" s="158"/>
      <c r="AN935" s="158"/>
      <c r="AO935" s="158"/>
    </row>
    <row r="936">
      <c r="AM936" s="158"/>
      <c r="AN936" s="158"/>
      <c r="AO936" s="158"/>
    </row>
    <row r="937">
      <c r="AM937" s="158"/>
      <c r="AN937" s="158"/>
      <c r="AO937" s="158"/>
    </row>
    <row r="938">
      <c r="AM938" s="158"/>
      <c r="AN938" s="158"/>
      <c r="AO938" s="158"/>
    </row>
    <row r="939">
      <c r="AM939" s="158"/>
      <c r="AN939" s="158"/>
      <c r="AO939" s="158"/>
    </row>
    <row r="940">
      <c r="AM940" s="158"/>
      <c r="AN940" s="158"/>
      <c r="AO940" s="158"/>
    </row>
    <row r="941">
      <c r="AM941" s="158"/>
      <c r="AN941" s="158"/>
      <c r="AO941" s="158"/>
    </row>
    <row r="942">
      <c r="AM942" s="158"/>
      <c r="AN942" s="158"/>
      <c r="AO942" s="158"/>
    </row>
    <row r="943">
      <c r="AM943" s="158"/>
      <c r="AN943" s="158"/>
      <c r="AO943" s="158"/>
    </row>
    <row r="944">
      <c r="AM944" s="158"/>
      <c r="AN944" s="158"/>
      <c r="AO944" s="158"/>
    </row>
    <row r="945">
      <c r="AM945" s="158"/>
      <c r="AN945" s="158"/>
      <c r="AO945" s="158"/>
    </row>
    <row r="946">
      <c r="AM946" s="158"/>
      <c r="AN946" s="158"/>
      <c r="AO946" s="158"/>
    </row>
    <row r="947">
      <c r="AM947" s="158"/>
      <c r="AN947" s="158"/>
      <c r="AO947" s="158"/>
    </row>
    <row r="948">
      <c r="AM948" s="158"/>
      <c r="AN948" s="158"/>
      <c r="AO948" s="158"/>
    </row>
    <row r="949">
      <c r="AM949" s="158"/>
      <c r="AN949" s="158"/>
      <c r="AO949" s="158"/>
    </row>
    <row r="950">
      <c r="AM950" s="158"/>
      <c r="AN950" s="158"/>
      <c r="AO950" s="158"/>
    </row>
    <row r="951">
      <c r="AM951" s="158"/>
      <c r="AN951" s="158"/>
      <c r="AO951" s="158"/>
    </row>
    <row r="952">
      <c r="AM952" s="158"/>
      <c r="AN952" s="158"/>
      <c r="AO952" s="158"/>
    </row>
    <row r="953">
      <c r="AM953" s="158"/>
      <c r="AN953" s="158"/>
      <c r="AO953" s="158"/>
    </row>
    <row r="954">
      <c r="AM954" s="158"/>
      <c r="AN954" s="158"/>
      <c r="AO954" s="158"/>
    </row>
    <row r="955">
      <c r="AM955" s="158"/>
      <c r="AN955" s="158"/>
      <c r="AO955" s="158"/>
    </row>
    <row r="956">
      <c r="AM956" s="158"/>
      <c r="AN956" s="158"/>
      <c r="AO956" s="158"/>
    </row>
    <row r="957">
      <c r="AM957" s="158"/>
      <c r="AN957" s="158"/>
      <c r="AO957" s="158"/>
    </row>
    <row r="958">
      <c r="AM958" s="158"/>
      <c r="AN958" s="158"/>
      <c r="AO958" s="158"/>
    </row>
    <row r="959">
      <c r="AM959" s="158"/>
      <c r="AN959" s="158"/>
      <c r="AO959" s="158"/>
    </row>
    <row r="960">
      <c r="AM960" s="158"/>
      <c r="AN960" s="158"/>
      <c r="AO960" s="158"/>
    </row>
    <row r="961">
      <c r="AM961" s="158"/>
      <c r="AN961" s="158"/>
      <c r="AO961" s="158"/>
    </row>
    <row r="962">
      <c r="AM962" s="158"/>
      <c r="AN962" s="158"/>
      <c r="AO962" s="158"/>
    </row>
    <row r="963">
      <c r="AM963" s="158"/>
      <c r="AN963" s="158"/>
      <c r="AO963" s="158"/>
    </row>
    <row r="964">
      <c r="AM964" s="158"/>
      <c r="AN964" s="158"/>
      <c r="AO964" s="158"/>
    </row>
    <row r="965">
      <c r="AM965" s="158"/>
      <c r="AN965" s="158"/>
      <c r="AO965" s="158"/>
    </row>
    <row r="966">
      <c r="AM966" s="158"/>
      <c r="AN966" s="158"/>
      <c r="AO966" s="158"/>
    </row>
    <row r="967">
      <c r="AM967" s="158"/>
      <c r="AN967" s="158"/>
      <c r="AO967" s="158"/>
    </row>
    <row r="968">
      <c r="AM968" s="158"/>
      <c r="AN968" s="158"/>
      <c r="AO968" s="158"/>
    </row>
    <row r="969">
      <c r="AM969" s="158"/>
      <c r="AN969" s="158"/>
      <c r="AO969" s="158"/>
    </row>
    <row r="970">
      <c r="AM970" s="158"/>
      <c r="AN970" s="158"/>
      <c r="AO970" s="158"/>
    </row>
    <row r="971">
      <c r="AM971" s="158"/>
      <c r="AN971" s="158"/>
      <c r="AO971" s="158"/>
    </row>
    <row r="972">
      <c r="AM972" s="158"/>
      <c r="AN972" s="158"/>
      <c r="AO972" s="158"/>
    </row>
    <row r="973">
      <c r="AM973" s="158"/>
      <c r="AN973" s="158"/>
      <c r="AO973" s="158"/>
    </row>
    <row r="974">
      <c r="AM974" s="158"/>
      <c r="AN974" s="158"/>
      <c r="AO974" s="158"/>
    </row>
    <row r="975">
      <c r="AM975" s="158"/>
      <c r="AN975" s="158"/>
      <c r="AO975" s="158"/>
    </row>
    <row r="976">
      <c r="AM976" s="158"/>
      <c r="AN976" s="158"/>
      <c r="AO976" s="158"/>
    </row>
    <row r="977">
      <c r="AM977" s="158"/>
      <c r="AN977" s="158"/>
      <c r="AO977" s="158"/>
    </row>
    <row r="978">
      <c r="AM978" s="158"/>
      <c r="AN978" s="158"/>
      <c r="AO978" s="158"/>
    </row>
    <row r="979">
      <c r="AM979" s="158"/>
      <c r="AN979" s="158"/>
      <c r="AO979" s="158"/>
    </row>
    <row r="980">
      <c r="AM980" s="158"/>
      <c r="AN980" s="158"/>
      <c r="AO980" s="158"/>
    </row>
    <row r="981">
      <c r="AM981" s="158"/>
      <c r="AN981" s="158"/>
      <c r="AO981" s="158"/>
    </row>
    <row r="982">
      <c r="AM982" s="158"/>
      <c r="AN982" s="158"/>
      <c r="AO982" s="158"/>
    </row>
    <row r="983">
      <c r="AM983" s="158"/>
      <c r="AN983" s="158"/>
      <c r="AO983" s="158"/>
    </row>
    <row r="984">
      <c r="AM984" s="158"/>
      <c r="AN984" s="158"/>
      <c r="AO984" s="158"/>
    </row>
    <row r="985">
      <c r="AM985" s="158"/>
      <c r="AN985" s="158"/>
      <c r="AO985" s="158"/>
    </row>
    <row r="986">
      <c r="AM986" s="158"/>
      <c r="AN986" s="158"/>
      <c r="AO986" s="158"/>
    </row>
    <row r="987">
      <c r="AM987" s="158"/>
      <c r="AN987" s="158"/>
      <c r="AO987" s="158"/>
    </row>
    <row r="988">
      <c r="AM988" s="158"/>
      <c r="AN988" s="158"/>
      <c r="AO988" s="158"/>
    </row>
    <row r="989">
      <c r="AM989" s="158"/>
      <c r="AN989" s="158"/>
      <c r="AO989" s="158"/>
    </row>
    <row r="990">
      <c r="AM990" s="158"/>
      <c r="AN990" s="158"/>
      <c r="AO990" s="158"/>
    </row>
    <row r="991">
      <c r="AM991" s="158"/>
      <c r="AN991" s="158"/>
      <c r="AO991" s="158"/>
    </row>
    <row r="992">
      <c r="AM992" s="158"/>
      <c r="AN992" s="158"/>
      <c r="AO992" s="158"/>
    </row>
    <row r="993">
      <c r="AM993" s="158"/>
      <c r="AN993" s="158"/>
      <c r="AO993" s="158"/>
    </row>
    <row r="994">
      <c r="AM994" s="158"/>
      <c r="AN994" s="158"/>
      <c r="AO994" s="158"/>
    </row>
    <row r="995">
      <c r="AM995" s="158"/>
      <c r="AN995" s="158"/>
      <c r="AO995" s="158"/>
    </row>
    <row r="996">
      <c r="AM996" s="158"/>
      <c r="AN996" s="158"/>
      <c r="AO996" s="158"/>
    </row>
    <row r="997">
      <c r="AM997" s="158"/>
      <c r="AN997" s="158"/>
      <c r="AO997" s="158"/>
    </row>
    <row r="998">
      <c r="AM998" s="158"/>
      <c r="AN998" s="158"/>
      <c r="AO998" s="158"/>
    </row>
    <row r="999">
      <c r="AM999" s="158"/>
      <c r="AN999" s="158"/>
      <c r="AO999" s="158"/>
    </row>
    <row r="1000">
      <c r="AM1000" s="158"/>
      <c r="AN1000" s="158"/>
      <c r="AO1000" s="158"/>
    </row>
    <row r="1001">
      <c r="AM1001" s="158"/>
      <c r="AN1001" s="158"/>
      <c r="AO1001" s="158"/>
    </row>
    <row r="1002">
      <c r="AM1002" s="158"/>
      <c r="AN1002" s="158"/>
      <c r="AO1002" s="158"/>
    </row>
    <row r="1003">
      <c r="AM1003" s="158"/>
      <c r="AN1003" s="158"/>
      <c r="AO1003" s="158"/>
    </row>
  </sheetData>
  <mergeCells count="95">
    <mergeCell ref="T92:V92"/>
    <mergeCell ref="T93:V93"/>
    <mergeCell ref="T94:V94"/>
    <mergeCell ref="T99:V99"/>
    <mergeCell ref="T100:V100"/>
    <mergeCell ref="T101:V101"/>
    <mergeCell ref="T102:V102"/>
    <mergeCell ref="T103:V103"/>
    <mergeCell ref="T104:V104"/>
    <mergeCell ref="T109:V109"/>
    <mergeCell ref="T119:V119"/>
    <mergeCell ref="T120:V120"/>
    <mergeCell ref="T121:V121"/>
    <mergeCell ref="T122:V122"/>
    <mergeCell ref="T123:V123"/>
    <mergeCell ref="T124:V124"/>
    <mergeCell ref="T133:V133"/>
    <mergeCell ref="T134:V134"/>
    <mergeCell ref="T135:V135"/>
    <mergeCell ref="T136:V136"/>
    <mergeCell ref="T137:V137"/>
    <mergeCell ref="T138:V138"/>
    <mergeCell ref="T143:V143"/>
    <mergeCell ref="T144:V144"/>
    <mergeCell ref="T145:V145"/>
    <mergeCell ref="T146:V146"/>
    <mergeCell ref="T147:V147"/>
    <mergeCell ref="T153:V153"/>
    <mergeCell ref="T154:V154"/>
    <mergeCell ref="T155:V155"/>
    <mergeCell ref="T156:V156"/>
    <mergeCell ref="T157:V157"/>
    <mergeCell ref="T158:V158"/>
    <mergeCell ref="T163:V163"/>
    <mergeCell ref="T164:V164"/>
    <mergeCell ref="T185:V185"/>
    <mergeCell ref="T186:V186"/>
    <mergeCell ref="T187:V187"/>
    <mergeCell ref="T188:V188"/>
    <mergeCell ref="T165:V165"/>
    <mergeCell ref="T166:V166"/>
    <mergeCell ref="T167:V167"/>
    <mergeCell ref="T168:V168"/>
    <mergeCell ref="T173:V173"/>
    <mergeCell ref="T183:V183"/>
    <mergeCell ref="T184:V184"/>
    <mergeCell ref="T4:V4"/>
    <mergeCell ref="T5:V5"/>
    <mergeCell ref="T6:V6"/>
    <mergeCell ref="T7:V7"/>
    <mergeCell ref="T8:V8"/>
    <mergeCell ref="T9:V9"/>
    <mergeCell ref="T14:V14"/>
    <mergeCell ref="T15:V15"/>
    <mergeCell ref="T16:V16"/>
    <mergeCell ref="T17:V17"/>
    <mergeCell ref="T18:V18"/>
    <mergeCell ref="T19:V19"/>
    <mergeCell ref="T24:V24"/>
    <mergeCell ref="T25:V25"/>
    <mergeCell ref="T26:V26"/>
    <mergeCell ref="T27:V27"/>
    <mergeCell ref="T28:V28"/>
    <mergeCell ref="T29:V29"/>
    <mergeCell ref="T34:V34"/>
    <mergeCell ref="T35:V35"/>
    <mergeCell ref="T36:V36"/>
    <mergeCell ref="T57:V57"/>
    <mergeCell ref="T58:V58"/>
    <mergeCell ref="T59:V59"/>
    <mergeCell ref="A62:AL63"/>
    <mergeCell ref="A64:AL64"/>
    <mergeCell ref="A65:AL65"/>
    <mergeCell ref="A66:AL67"/>
    <mergeCell ref="T37:V37"/>
    <mergeCell ref="T38:V38"/>
    <mergeCell ref="T39:V39"/>
    <mergeCell ref="T44:V44"/>
    <mergeCell ref="T54:V54"/>
    <mergeCell ref="T55:V55"/>
    <mergeCell ref="T56:V56"/>
    <mergeCell ref="T69:V69"/>
    <mergeCell ref="T70:V70"/>
    <mergeCell ref="T71:V71"/>
    <mergeCell ref="T72:V72"/>
    <mergeCell ref="T73:V73"/>
    <mergeCell ref="T74:V74"/>
    <mergeCell ref="T79:V79"/>
    <mergeCell ref="T80:V80"/>
    <mergeCell ref="T81:V81"/>
    <mergeCell ref="T82:V82"/>
    <mergeCell ref="T83:V83"/>
    <mergeCell ref="T89:V89"/>
    <mergeCell ref="T90:V90"/>
    <mergeCell ref="T91:V9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63"/>
    <col customWidth="1" min="9" max="9" width="16.13"/>
    <col customWidth="1" min="10" max="10" width="17.38"/>
    <col customWidth="1" min="11" max="11" width="18.63"/>
    <col customWidth="1" min="13" max="13" width="17.38"/>
    <col customWidth="1" min="16" max="16" width="25.63"/>
    <col customWidth="1" min="24" max="24" width="17.88"/>
    <col customWidth="1" min="30" max="30" width="14.25"/>
  </cols>
  <sheetData>
    <row r="1">
      <c r="A1" s="149" t="s">
        <v>594</v>
      </c>
    </row>
    <row r="2">
      <c r="A2" s="195"/>
      <c r="B2" s="367"/>
      <c r="C2" s="368"/>
      <c r="D2" s="368"/>
      <c r="E2" s="368"/>
      <c r="F2" s="368"/>
      <c r="G2" s="369"/>
      <c r="H2" s="368"/>
      <c r="I2" s="370" t="s">
        <v>188</v>
      </c>
      <c r="J2" s="371"/>
      <c r="K2" s="371"/>
      <c r="L2" s="372"/>
      <c r="M2" s="372"/>
      <c r="N2" s="372"/>
      <c r="O2" s="372"/>
      <c r="P2" s="372"/>
      <c r="Q2" s="373" t="s">
        <v>189</v>
      </c>
      <c r="R2" s="373"/>
      <c r="S2" s="373"/>
      <c r="T2" s="372"/>
      <c r="U2" s="372"/>
      <c r="V2" s="368"/>
      <c r="W2" s="374"/>
      <c r="X2" s="374"/>
      <c r="Y2" s="375" t="s">
        <v>88</v>
      </c>
      <c r="Z2" s="45" t="s">
        <v>89</v>
      </c>
      <c r="AA2" s="45" t="s">
        <v>90</v>
      </c>
      <c r="AB2" s="375" t="s">
        <v>91</v>
      </c>
      <c r="AC2" s="374"/>
      <c r="AD2" s="375" t="s">
        <v>92</v>
      </c>
      <c r="AE2" s="375" t="s">
        <v>93</v>
      </c>
      <c r="AF2" s="375" t="s">
        <v>94</v>
      </c>
      <c r="AG2" s="374"/>
      <c r="AH2" s="375" t="s">
        <v>95</v>
      </c>
      <c r="AI2" s="375" t="s">
        <v>96</v>
      </c>
      <c r="AJ2" s="375" t="s">
        <v>97</v>
      </c>
      <c r="AK2" s="376" t="s">
        <v>118</v>
      </c>
      <c r="AL2" s="371"/>
      <c r="AM2" s="377"/>
      <c r="AN2" s="378" t="s">
        <v>125</v>
      </c>
      <c r="AO2" s="375" t="s">
        <v>126</v>
      </c>
      <c r="AP2" s="378" t="s">
        <v>194</v>
      </c>
      <c r="AQ2" s="378"/>
      <c r="AR2" s="372"/>
      <c r="AS2" s="372"/>
      <c r="AT2" s="372"/>
      <c r="AU2" s="372"/>
      <c r="AV2" s="372"/>
      <c r="AW2" s="372"/>
      <c r="AX2" s="372"/>
      <c r="AY2" s="379"/>
      <c r="AZ2" s="2"/>
      <c r="BA2" s="2"/>
      <c r="BB2" s="2"/>
      <c r="BC2" s="2"/>
      <c r="BD2" s="2"/>
      <c r="BE2" s="2"/>
      <c r="BF2" s="2"/>
      <c r="BG2" s="2"/>
      <c r="BH2" s="2"/>
      <c r="BI2" s="2"/>
      <c r="BJ2" s="2"/>
      <c r="BK2" s="2"/>
      <c r="BL2" s="2"/>
    </row>
    <row r="3">
      <c r="A3" s="216"/>
      <c r="B3" s="380" t="s">
        <v>195</v>
      </c>
      <c r="C3" s="2"/>
      <c r="D3" s="7"/>
      <c r="E3" s="2"/>
      <c r="F3" s="2"/>
      <c r="G3" s="381"/>
      <c r="H3" s="6"/>
      <c r="I3" s="7" t="s">
        <v>196</v>
      </c>
      <c r="J3" s="6" t="s">
        <v>171</v>
      </c>
      <c r="K3" s="6" t="s">
        <v>172</v>
      </c>
      <c r="L3" s="44" t="s">
        <v>197</v>
      </c>
      <c r="M3" s="6" t="s">
        <v>198</v>
      </c>
      <c r="N3" s="6" t="s">
        <v>174</v>
      </c>
      <c r="O3" s="6" t="s">
        <v>175</v>
      </c>
      <c r="P3" s="7" t="s">
        <v>199</v>
      </c>
      <c r="Q3" s="2"/>
      <c r="R3" s="2"/>
      <c r="S3" s="6" t="s">
        <v>169</v>
      </c>
      <c r="T3" s="6"/>
      <c r="V3" s="32"/>
      <c r="W3" s="6"/>
      <c r="AK3" s="6" t="s">
        <v>123</v>
      </c>
      <c r="AL3" s="382" t="s">
        <v>124</v>
      </c>
      <c r="AM3" s="84"/>
      <c r="AR3" s="2"/>
      <c r="AS3" s="293">
        <f>SUM(AS4,AM5,S5)</f>
        <v>1482.929819</v>
      </c>
      <c r="AT3" s="2"/>
      <c r="AU3" s="2"/>
      <c r="AV3" s="2"/>
      <c r="AW3" s="2"/>
      <c r="AX3" s="2"/>
      <c r="AY3" s="383"/>
      <c r="AZ3" s="2"/>
      <c r="BA3" s="2"/>
      <c r="BB3" s="2"/>
      <c r="BC3" s="2"/>
      <c r="BD3" s="2"/>
      <c r="BE3" s="2"/>
      <c r="BF3" s="2"/>
      <c r="BG3" s="2"/>
      <c r="BH3" s="2"/>
      <c r="BI3" s="2"/>
      <c r="BJ3" s="2"/>
      <c r="BK3" s="2"/>
      <c r="BL3" s="2"/>
    </row>
    <row r="4">
      <c r="A4" s="216"/>
      <c r="B4" s="384" t="s">
        <v>129</v>
      </c>
      <c r="C4" s="2"/>
      <c r="D4" s="7"/>
      <c r="E4" s="385"/>
      <c r="F4" s="2"/>
      <c r="G4" s="383"/>
      <c r="H4" s="32"/>
      <c r="I4" s="6" t="s">
        <v>166</v>
      </c>
      <c r="J4" s="6" t="s">
        <v>167</v>
      </c>
      <c r="K4" s="137" t="s">
        <v>167</v>
      </c>
      <c r="L4" s="6" t="s">
        <v>167</v>
      </c>
      <c r="M4" s="6"/>
      <c r="N4" s="6" t="s">
        <v>167</v>
      </c>
      <c r="O4" s="137" t="s">
        <v>167</v>
      </c>
      <c r="P4" s="7"/>
      <c r="Q4" s="6"/>
      <c r="R4" s="2"/>
      <c r="S4" s="6" t="s">
        <v>180</v>
      </c>
      <c r="T4" s="6"/>
      <c r="V4" s="307"/>
      <c r="Y4" s="6" t="s">
        <v>137</v>
      </c>
      <c r="Z4" s="6" t="s">
        <v>35</v>
      </c>
      <c r="AA4" s="6" t="s">
        <v>138</v>
      </c>
      <c r="AB4" s="6" t="s">
        <v>35</v>
      </c>
      <c r="AD4" s="6" t="s">
        <v>35</v>
      </c>
      <c r="AE4" s="6" t="s">
        <v>138</v>
      </c>
      <c r="AF4" s="6" t="s">
        <v>139</v>
      </c>
      <c r="AG4" s="6" t="s">
        <v>140</v>
      </c>
      <c r="AH4" s="6" t="s">
        <v>138</v>
      </c>
      <c r="AI4" s="6" t="s">
        <v>33</v>
      </c>
      <c r="AJ4" s="6" t="s">
        <v>38</v>
      </c>
      <c r="AM4" s="386"/>
      <c r="AN4" s="147">
        <f>AL4+AN6</f>
        <v>21.1247934</v>
      </c>
      <c r="AO4" s="147">
        <f>AN4+AO6</f>
        <v>422.495868</v>
      </c>
      <c r="AR4" s="2"/>
      <c r="AS4" s="2">
        <f>SUM(AN4:AO4)</f>
        <v>443.6206614</v>
      </c>
      <c r="AT4" s="2"/>
      <c r="AU4" s="2"/>
      <c r="AV4" s="2"/>
      <c r="AW4" s="2"/>
      <c r="AX4" s="2"/>
      <c r="AY4" s="383"/>
      <c r="AZ4" s="2"/>
      <c r="BA4" s="2"/>
      <c r="BB4" s="2"/>
      <c r="BC4" s="2"/>
      <c r="BD4" s="2"/>
      <c r="BE4" s="2"/>
      <c r="BF4" s="2"/>
      <c r="BG4" s="2"/>
      <c r="BH4" s="2"/>
      <c r="BI4" s="2"/>
      <c r="BJ4" s="2"/>
      <c r="BK4" s="2"/>
      <c r="BL4" s="2"/>
    </row>
    <row r="5">
      <c r="A5" s="216"/>
      <c r="B5" s="387" t="s">
        <v>142</v>
      </c>
      <c r="C5" s="2"/>
      <c r="D5" s="2"/>
      <c r="E5" s="2"/>
      <c r="F5" s="2"/>
      <c r="G5" s="383"/>
      <c r="H5" s="32"/>
      <c r="I5" s="7"/>
      <c r="J5" s="2"/>
      <c r="K5" s="2"/>
      <c r="L5" s="7">
        <v>47.37</v>
      </c>
      <c r="M5" s="7"/>
      <c r="N5" s="2"/>
      <c r="O5" s="2"/>
      <c r="P5" s="151">
        <v>80.77</v>
      </c>
      <c r="Q5" s="6">
        <f>82.25</f>
        <v>82.25</v>
      </c>
      <c r="R5" s="2"/>
      <c r="S5" s="2">
        <f>(S8*T8*U8)/1000000</f>
        <v>581.1493875</v>
      </c>
      <c r="T5" s="2"/>
      <c r="V5" s="1"/>
      <c r="W5" s="2"/>
      <c r="Y5" s="2">
        <v>581.651319603376</v>
      </c>
      <c r="Z5" s="2">
        <v>586.6865327824959</v>
      </c>
      <c r="AA5" s="2">
        <v>754.5607374176558</v>
      </c>
      <c r="AB5" s="2">
        <v>760.5478211247755</v>
      </c>
      <c r="AD5" s="2">
        <v>766.5664707838953</v>
      </c>
      <c r="AE5" s="2">
        <v>811.6756349507754</v>
      </c>
      <c r="AF5" s="79">
        <v>811.9891143968996</v>
      </c>
      <c r="AG5" s="2"/>
      <c r="AH5" s="79">
        <v>973.7291708399997</v>
      </c>
      <c r="AI5" s="79">
        <v>979.0466559068999</v>
      </c>
      <c r="AJ5" s="7">
        <v>982.0091573254</v>
      </c>
      <c r="AK5" s="134">
        <f t="shared" ref="AK5:AL5" si="1">AJ5+AK7</f>
        <v>1039.009157</v>
      </c>
      <c r="AL5" s="134">
        <f t="shared" si="1"/>
        <v>1039.309157</v>
      </c>
      <c r="AM5" s="84">
        <f>AL5-S5</f>
        <v>458.1597698</v>
      </c>
      <c r="AN5" s="148">
        <v>0.031</v>
      </c>
      <c r="AO5" s="138">
        <f>AP5-AN5</f>
        <v>0.6</v>
      </c>
      <c r="AP5" s="149">
        <v>0.631</v>
      </c>
      <c r="AQ5" s="149"/>
      <c r="AR5" s="2"/>
      <c r="AS5" s="2"/>
      <c r="AT5" s="2"/>
      <c r="AU5" s="2"/>
      <c r="AV5" s="2"/>
      <c r="AW5" s="2"/>
      <c r="AX5" s="2"/>
      <c r="AY5" s="383"/>
      <c r="AZ5" s="2"/>
      <c r="BA5" s="2"/>
      <c r="BB5" s="2"/>
      <c r="BC5" s="2"/>
      <c r="BD5" s="2"/>
      <c r="BE5" s="2"/>
      <c r="BF5" s="2"/>
      <c r="BG5" s="2"/>
      <c r="BH5" s="2"/>
      <c r="BI5" s="2"/>
      <c r="BJ5" s="2"/>
      <c r="BK5" s="2"/>
      <c r="BL5" s="2"/>
    </row>
    <row r="6">
      <c r="A6" s="216"/>
      <c r="B6" s="388" t="s">
        <v>144</v>
      </c>
      <c r="C6" s="2"/>
      <c r="D6" s="2"/>
      <c r="E6" s="2"/>
      <c r="F6" s="2"/>
      <c r="G6" s="383"/>
      <c r="H6" s="32"/>
      <c r="I6" s="7"/>
      <c r="J6" s="2"/>
      <c r="K6" s="2"/>
      <c r="L6" s="7"/>
      <c r="M6" s="7"/>
      <c r="N6" s="2"/>
      <c r="O6" s="2"/>
      <c r="P6" s="7"/>
      <c r="Q6" s="6"/>
      <c r="R6" s="2"/>
      <c r="S6" s="6"/>
      <c r="T6" s="6"/>
      <c r="V6" s="1"/>
      <c r="W6" s="2"/>
      <c r="Y6" s="32">
        <v>0.0012</v>
      </c>
      <c r="Z6" s="32">
        <v>0.012</v>
      </c>
      <c r="AA6" s="32">
        <v>0.366</v>
      </c>
      <c r="AB6" s="32">
        <v>0.012</v>
      </c>
      <c r="AD6" s="32">
        <v>0.012</v>
      </c>
      <c r="AE6" s="32">
        <v>0.088</v>
      </c>
      <c r="AF6" s="32">
        <v>6.0E-4</v>
      </c>
      <c r="AG6" s="7" t="s">
        <v>145</v>
      </c>
      <c r="AH6" s="32">
        <v>0.291</v>
      </c>
      <c r="AI6" s="32">
        <v>0.009</v>
      </c>
      <c r="AJ6" s="147">
        <f>10/1000</f>
        <v>0.01</v>
      </c>
      <c r="AK6" s="7">
        <f>800/1000</f>
        <v>0.8</v>
      </c>
      <c r="AL6" s="7">
        <v>0.002</v>
      </c>
      <c r="AM6" s="84">
        <f>SUM(AJ6,AI6,AH6,AF6,AE6,AD6,AB6,AA6,Z6,Y6,)</f>
        <v>0.8018</v>
      </c>
      <c r="AN6" s="154">
        <v>21.1247934</v>
      </c>
      <c r="AO6" s="44">
        <v>401.3710746</v>
      </c>
      <c r="AR6" s="2"/>
      <c r="AS6" s="2"/>
      <c r="AT6" s="2"/>
      <c r="AU6" s="2"/>
      <c r="AV6" s="2"/>
      <c r="AW6" s="2"/>
      <c r="AX6" s="2"/>
      <c r="AY6" s="383"/>
      <c r="AZ6" s="2"/>
      <c r="BA6" s="2"/>
      <c r="BB6" s="2"/>
      <c r="BC6" s="2"/>
      <c r="BD6" s="2"/>
      <c r="BE6" s="2"/>
      <c r="BF6" s="2"/>
      <c r="BG6" s="2"/>
      <c r="BH6" s="2"/>
      <c r="BI6" s="2"/>
      <c r="BJ6" s="2"/>
      <c r="BK6" s="2"/>
      <c r="BL6" s="2"/>
    </row>
    <row r="7">
      <c r="A7" s="216"/>
      <c r="B7" s="384"/>
      <c r="C7" s="3"/>
      <c r="D7" s="3"/>
      <c r="E7" s="3"/>
      <c r="F7" s="3"/>
      <c r="G7" s="389"/>
      <c r="H7" s="3"/>
      <c r="I7" s="7"/>
      <c r="J7" s="7"/>
      <c r="K7" s="7"/>
      <c r="L7" s="6"/>
      <c r="M7" s="7"/>
      <c r="N7" s="6"/>
      <c r="O7" s="6"/>
      <c r="P7" s="7"/>
      <c r="Q7" s="6"/>
      <c r="R7" s="2"/>
      <c r="S7" s="365" t="s">
        <v>595</v>
      </c>
      <c r="T7" s="365" t="s">
        <v>596</v>
      </c>
      <c r="U7" s="149" t="s">
        <v>597</v>
      </c>
      <c r="V7" s="32"/>
      <c r="W7" s="32" t="s">
        <v>154</v>
      </c>
      <c r="X7" s="158"/>
      <c r="Y7" s="2">
        <v>0.41369419871999996</v>
      </c>
      <c r="Z7" s="2">
        <v>4.1609024352</v>
      </c>
      <c r="AA7" s="2">
        <v>150.20943838559998</v>
      </c>
      <c r="AB7" s="2">
        <v>4.951037347199999</v>
      </c>
      <c r="AC7" s="2"/>
      <c r="AD7" s="2">
        <v>4.977244195199997</v>
      </c>
      <c r="AE7" s="2">
        <v>37.924624812799976</v>
      </c>
      <c r="AF7" s="2">
        <v>0.25864386239999987</v>
      </c>
      <c r="AG7" s="1"/>
      <c r="AH7" s="2">
        <v>141.66681413999999</v>
      </c>
      <c r="AI7" s="2">
        <v>4.397453135999999</v>
      </c>
      <c r="AJ7" s="138">
        <v>8.567774936061381</v>
      </c>
      <c r="AK7" s="7">
        <v>57.0</v>
      </c>
      <c r="AL7" s="7">
        <v>0.3</v>
      </c>
      <c r="AM7" s="84"/>
      <c r="AP7" s="2">
        <f>AM6+AN6+AO6</f>
        <v>423.297668</v>
      </c>
      <c r="AQ7" s="2"/>
      <c r="AR7" s="2"/>
      <c r="AS7" s="2"/>
      <c r="AT7" s="2"/>
      <c r="AU7" s="2"/>
      <c r="AV7" s="2"/>
      <c r="AW7" s="2"/>
      <c r="AX7" s="2"/>
      <c r="AY7" s="383"/>
      <c r="AZ7" s="2"/>
      <c r="BA7" s="2"/>
      <c r="BB7" s="2"/>
      <c r="BC7" s="2"/>
      <c r="BD7" s="2"/>
      <c r="BE7" s="2"/>
      <c r="BF7" s="2"/>
      <c r="BG7" s="2"/>
      <c r="BH7" s="2"/>
      <c r="BI7" s="2"/>
      <c r="BJ7" s="2"/>
      <c r="BK7" s="2"/>
      <c r="BL7" s="2"/>
    </row>
    <row r="8">
      <c r="A8" s="216"/>
      <c r="B8" s="384" t="s">
        <v>201</v>
      </c>
      <c r="C8" s="3"/>
      <c r="D8" s="3"/>
      <c r="E8" s="3"/>
      <c r="F8" s="3"/>
      <c r="G8" s="389"/>
      <c r="H8" s="3"/>
      <c r="I8" s="151" t="s">
        <v>598</v>
      </c>
      <c r="J8" s="151" t="s">
        <v>599</v>
      </c>
      <c r="K8" s="151" t="s">
        <v>599</v>
      </c>
      <c r="L8" s="365" t="s">
        <v>600</v>
      </c>
      <c r="M8" s="151" t="s">
        <v>601</v>
      </c>
      <c r="N8" s="6"/>
      <c r="O8" s="6"/>
      <c r="P8" s="7"/>
      <c r="Q8" s="6"/>
      <c r="R8" s="2"/>
      <c r="S8" s="365">
        <f t="shared" ref="S8:T8" si="2">428.845*2</f>
        <v>857.69</v>
      </c>
      <c r="T8" s="365">
        <f t="shared" si="2"/>
        <v>857.69</v>
      </c>
      <c r="U8" s="147">
        <f>395*2</f>
        <v>790</v>
      </c>
      <c r="V8" s="32"/>
      <c r="Y8" s="7" t="s">
        <v>310</v>
      </c>
      <c r="Z8" s="7" t="s">
        <v>311</v>
      </c>
      <c r="AA8" s="7" t="s">
        <v>312</v>
      </c>
      <c r="AB8" s="7" t="s">
        <v>313</v>
      </c>
      <c r="AC8" s="390"/>
      <c r="AD8" s="7" t="s">
        <v>314</v>
      </c>
      <c r="AE8" s="7" t="s">
        <v>315</v>
      </c>
      <c r="AF8" s="7" t="s">
        <v>316</v>
      </c>
      <c r="AG8" s="390"/>
      <c r="AH8" s="7" t="s">
        <v>317</v>
      </c>
      <c r="AI8" s="7" t="s">
        <v>318</v>
      </c>
      <c r="AJ8" s="149" t="s">
        <v>602</v>
      </c>
      <c r="AM8" s="84"/>
      <c r="AP8" s="2"/>
      <c r="AQ8" s="2"/>
      <c r="AR8" s="2"/>
      <c r="AS8" s="2"/>
      <c r="AT8" s="2"/>
      <c r="AU8" s="2"/>
      <c r="AV8" s="2"/>
      <c r="AW8" s="2"/>
      <c r="AX8" s="2"/>
      <c r="AY8" s="383"/>
      <c r="AZ8" s="2"/>
      <c r="BA8" s="2"/>
      <c r="BB8" s="2"/>
      <c r="BC8" s="2"/>
      <c r="BD8" s="2"/>
      <c r="BE8" s="2"/>
      <c r="BF8" s="2"/>
      <c r="BG8" s="2"/>
      <c r="BH8" s="2"/>
      <c r="BI8" s="2"/>
      <c r="BJ8" s="2"/>
      <c r="BK8" s="2"/>
      <c r="BL8" s="2"/>
    </row>
    <row r="9">
      <c r="A9" s="216"/>
      <c r="B9" s="384"/>
      <c r="C9" s="3"/>
      <c r="D9" s="3"/>
      <c r="E9" s="3"/>
      <c r="F9" s="3"/>
      <c r="G9" s="389"/>
      <c r="H9" s="3"/>
      <c r="I9" s="151"/>
      <c r="J9" s="151"/>
      <c r="K9" s="151"/>
      <c r="L9" s="365"/>
      <c r="M9" s="151"/>
      <c r="N9" s="6"/>
      <c r="O9" s="6"/>
      <c r="P9" s="7"/>
      <c r="Q9" s="6"/>
      <c r="R9" s="2"/>
      <c r="S9" s="365"/>
      <c r="T9" s="365"/>
      <c r="V9" s="32"/>
      <c r="Y9" s="7"/>
      <c r="Z9" s="7"/>
      <c r="AA9" s="7"/>
      <c r="AB9" s="7"/>
      <c r="AC9" s="390"/>
      <c r="AD9" s="7"/>
      <c r="AE9" s="7"/>
      <c r="AF9" s="7"/>
      <c r="AG9" s="390"/>
      <c r="AH9" s="7"/>
      <c r="AI9" s="7"/>
      <c r="AJ9" s="149"/>
      <c r="AM9" s="84"/>
      <c r="AP9" s="2"/>
      <c r="AQ9" s="2"/>
      <c r="AR9" s="2"/>
      <c r="AS9" s="2"/>
      <c r="AT9" s="2"/>
      <c r="AU9" s="2"/>
      <c r="AV9" s="2"/>
      <c r="AW9" s="2"/>
      <c r="AX9" s="2"/>
      <c r="AY9" s="383"/>
      <c r="AZ9" s="2"/>
      <c r="BA9" s="2"/>
      <c r="BB9" s="2"/>
      <c r="BC9" s="2"/>
      <c r="BD9" s="2"/>
      <c r="BE9" s="2"/>
      <c r="BF9" s="2"/>
      <c r="BG9" s="2"/>
      <c r="BH9" s="2"/>
      <c r="BI9" s="2"/>
      <c r="BJ9" s="2"/>
      <c r="BK9" s="2"/>
      <c r="BL9" s="2"/>
    </row>
    <row r="10">
      <c r="A10" s="216"/>
      <c r="B10" s="384" t="s">
        <v>221</v>
      </c>
      <c r="C10" s="3"/>
      <c r="D10" s="3"/>
      <c r="E10" s="3"/>
      <c r="F10" s="3"/>
      <c r="G10" s="389"/>
      <c r="H10" s="3"/>
      <c r="I10" s="151">
        <v>36.49</v>
      </c>
      <c r="J10" s="365">
        <v>1.5733</v>
      </c>
      <c r="K10" s="365">
        <v>1.5733</v>
      </c>
      <c r="L10" s="151">
        <f>51.22-I10-J10-K10-M10</f>
        <v>11.50998</v>
      </c>
      <c r="M10" s="151">
        <v>0.07342</v>
      </c>
      <c r="N10" s="151">
        <v>1.88</v>
      </c>
      <c r="O10" s="151">
        <v>1.88</v>
      </c>
      <c r="P10" s="2">
        <f>SUM(I10:M10)</f>
        <v>51.22</v>
      </c>
      <c r="Q10" s="6"/>
      <c r="R10" s="7"/>
      <c r="S10" s="6">
        <f>S5-Q5</f>
        <v>498.8993875</v>
      </c>
      <c r="T10" s="6"/>
      <c r="V10" s="32"/>
      <c r="W10" s="6" t="s">
        <v>146</v>
      </c>
      <c r="Y10" s="151">
        <v>0.537</v>
      </c>
      <c r="Z10" s="7">
        <v>4.144</v>
      </c>
      <c r="AA10" s="7">
        <v>140.5</v>
      </c>
      <c r="AB10" s="7">
        <v>5.072</v>
      </c>
      <c r="AD10" s="7">
        <v>5.101</v>
      </c>
      <c r="AE10" s="7">
        <v>38.32</v>
      </c>
      <c r="AF10" s="7">
        <v>0.262</v>
      </c>
      <c r="AG10" s="7"/>
      <c r="AH10" s="7">
        <v>138.5</v>
      </c>
      <c r="AI10" s="7">
        <v>4.577</v>
      </c>
      <c r="AJ10" s="138">
        <f>AJ12/AJ11</f>
        <v>8.567774936</v>
      </c>
      <c r="AK10" s="7">
        <v>57.0</v>
      </c>
      <c r="AL10" s="7">
        <v>0.3</v>
      </c>
      <c r="AM10" s="84">
        <f>SUM(Y10:AI10)+AK10+AL10</f>
        <v>394.313</v>
      </c>
      <c r="AN10" s="44">
        <v>7820.0</v>
      </c>
      <c r="AP10" s="7"/>
      <c r="AQ10" s="7"/>
      <c r="AR10" s="2"/>
      <c r="AS10" s="2"/>
      <c r="AT10" s="2"/>
      <c r="AU10" s="2"/>
      <c r="AV10" s="2"/>
      <c r="AW10" s="2"/>
      <c r="AX10" s="2"/>
      <c r="AY10" s="383"/>
      <c r="AZ10" s="2"/>
      <c r="BA10" s="2"/>
      <c r="BB10" s="2"/>
      <c r="BC10" s="2"/>
      <c r="BD10" s="2"/>
      <c r="BE10" s="2"/>
      <c r="BF10" s="2"/>
      <c r="BG10" s="2"/>
      <c r="BH10" s="2"/>
      <c r="BI10" s="2"/>
      <c r="BJ10" s="2"/>
      <c r="BK10" s="2"/>
      <c r="BL10" s="2"/>
    </row>
    <row r="11">
      <c r="A11" s="216"/>
      <c r="B11" s="384" t="s">
        <v>113</v>
      </c>
      <c r="C11" s="32"/>
      <c r="D11" s="32"/>
      <c r="E11" s="32"/>
      <c r="F11" s="32"/>
      <c r="G11" s="391"/>
      <c r="H11" s="32"/>
      <c r="I11" s="6">
        <v>1400.0</v>
      </c>
      <c r="J11" s="159">
        <v>1190.0</v>
      </c>
      <c r="K11" s="159">
        <v>1190.0</v>
      </c>
      <c r="L11" s="7"/>
      <c r="M11" s="159"/>
      <c r="N11" s="159"/>
      <c r="O11" s="159"/>
      <c r="P11" s="151">
        <v>1400.0</v>
      </c>
      <c r="Q11" s="6"/>
      <c r="R11" s="7"/>
      <c r="S11" s="392">
        <v>1400.0</v>
      </c>
      <c r="T11" s="392"/>
      <c r="V11" s="32"/>
      <c r="W11" s="32"/>
      <c r="X11" s="158"/>
      <c r="Y11" s="151">
        <v>7820.0</v>
      </c>
      <c r="Z11" s="7">
        <v>650.0</v>
      </c>
      <c r="AA11" s="7">
        <v>88.0</v>
      </c>
      <c r="AB11" s="7">
        <v>650.0</v>
      </c>
      <c r="AD11" s="7">
        <v>650.0</v>
      </c>
      <c r="AE11" s="7">
        <v>88.0</v>
      </c>
      <c r="AF11" s="7">
        <v>1330.0</v>
      </c>
      <c r="AG11" s="2"/>
      <c r="AH11" s="7">
        <v>88.0</v>
      </c>
      <c r="AI11" s="7">
        <v>650.0</v>
      </c>
      <c r="AJ11" s="44">
        <v>7820.0</v>
      </c>
      <c r="AK11" s="2">
        <v>40.0</v>
      </c>
      <c r="AL11" s="7">
        <v>7820.0</v>
      </c>
      <c r="AM11" s="84"/>
      <c r="AN11" s="147">
        <f>AN6*AN10</f>
        <v>165195.8844</v>
      </c>
      <c r="AP11" s="2"/>
      <c r="AQ11" s="2"/>
      <c r="AR11" s="2"/>
      <c r="AS11" s="2"/>
      <c r="AT11" s="2"/>
      <c r="AU11" s="2"/>
      <c r="AV11" s="2"/>
      <c r="AW11" s="2"/>
      <c r="AX11" s="2"/>
      <c r="AY11" s="383"/>
      <c r="AZ11" s="2"/>
      <c r="BA11" s="2"/>
      <c r="BB11" s="2"/>
      <c r="BC11" s="2"/>
      <c r="BD11" s="2"/>
      <c r="BE11" s="2"/>
      <c r="BF11" s="2"/>
      <c r="BG11" s="2"/>
      <c r="BH11" s="2"/>
      <c r="BI11" s="2"/>
      <c r="BJ11" s="2"/>
      <c r="BK11" s="2"/>
      <c r="BL11" s="2"/>
    </row>
    <row r="12">
      <c r="A12" s="216"/>
      <c r="B12" s="384" t="s">
        <v>114</v>
      </c>
      <c r="C12" s="1"/>
      <c r="D12" s="1"/>
      <c r="E12" s="1"/>
      <c r="F12" s="1"/>
      <c r="G12" s="393"/>
      <c r="H12" s="1"/>
      <c r="I12" s="2">
        <f>I10*I11</f>
        <v>51086</v>
      </c>
      <c r="J12" s="137">
        <f t="shared" ref="J12:K12" si="3">J11*J10</f>
        <v>1872.227</v>
      </c>
      <c r="K12" s="7">
        <f t="shared" si="3"/>
        <v>1872.227</v>
      </c>
      <c r="L12" s="2"/>
      <c r="M12" s="137"/>
      <c r="N12" s="7"/>
      <c r="O12" s="7"/>
      <c r="P12" s="2">
        <f>P5-P10</f>
        <v>29.55</v>
      </c>
      <c r="Q12" s="394"/>
      <c r="R12" s="80"/>
      <c r="S12" s="6">
        <f>S10*S11</f>
        <v>698459.1425</v>
      </c>
      <c r="T12" s="6"/>
      <c r="V12" s="3"/>
      <c r="W12" s="6" t="s">
        <v>155</v>
      </c>
      <c r="Y12" s="2">
        <f t="shared" ref="Y12:AB12" si="4">Y11*Y10</f>
        <v>4199.34</v>
      </c>
      <c r="Z12" s="2">
        <f t="shared" si="4"/>
        <v>2693.6</v>
      </c>
      <c r="AA12" s="2">
        <f t="shared" si="4"/>
        <v>12364</v>
      </c>
      <c r="AB12" s="2">
        <f t="shared" si="4"/>
        <v>3296.8</v>
      </c>
      <c r="AD12" s="2">
        <f t="shared" ref="AD12:AF12" si="5">AD11*AD10</f>
        <v>3315.65</v>
      </c>
      <c r="AE12" s="2">
        <f t="shared" si="5"/>
        <v>3372.16</v>
      </c>
      <c r="AF12" s="2">
        <f t="shared" si="5"/>
        <v>348.46</v>
      </c>
      <c r="AG12" s="7">
        <v>183.0</v>
      </c>
      <c r="AH12" s="2">
        <f t="shared" ref="AH12:AI12" si="6">AH11*AH10</f>
        <v>12188</v>
      </c>
      <c r="AI12" s="2">
        <f t="shared" si="6"/>
        <v>2975.05</v>
      </c>
      <c r="AJ12" s="162">
        <v>67000.0</v>
      </c>
      <c r="AK12" s="7">
        <f>AK10*AK11</f>
        <v>2280</v>
      </c>
      <c r="AL12" s="7">
        <f>AL11*AL10</f>
        <v>2346</v>
      </c>
      <c r="AM12" s="84"/>
      <c r="AN12" s="147">
        <f>AN11/1000</f>
        <v>165.1958844</v>
      </c>
      <c r="AP12" s="2"/>
      <c r="AQ12" s="2"/>
      <c r="AR12" s="2"/>
      <c r="AS12" s="2"/>
      <c r="AT12" s="2"/>
      <c r="AU12" s="2"/>
      <c r="AV12" s="2"/>
      <c r="AW12" s="2"/>
      <c r="AX12" s="2"/>
      <c r="AY12" s="383"/>
      <c r="AZ12" s="2"/>
      <c r="BA12" s="2"/>
      <c r="BB12" s="2"/>
      <c r="BC12" s="2"/>
      <c r="BD12" s="2"/>
      <c r="BE12" s="2"/>
      <c r="BF12" s="2"/>
      <c r="BG12" s="2"/>
      <c r="BH12" s="2"/>
      <c r="BI12" s="2"/>
      <c r="BJ12" s="2"/>
      <c r="BK12" s="2"/>
      <c r="BL12" s="2"/>
    </row>
    <row r="13">
      <c r="A13" s="252"/>
      <c r="B13" s="395" t="s">
        <v>223</v>
      </c>
      <c r="C13" s="396"/>
      <c r="D13" s="396"/>
      <c r="E13" s="396"/>
      <c r="F13" s="396"/>
      <c r="G13" s="397"/>
      <c r="H13" s="396"/>
      <c r="I13" s="396">
        <f t="shared" ref="I13:K13" si="7">I12/1000</f>
        <v>51.086</v>
      </c>
      <c r="J13" s="398">
        <f t="shared" si="7"/>
        <v>1.872227</v>
      </c>
      <c r="K13" s="398">
        <f t="shared" si="7"/>
        <v>1.872227</v>
      </c>
      <c r="L13" s="396"/>
      <c r="M13" s="398"/>
      <c r="N13" s="398"/>
      <c r="O13" s="398"/>
      <c r="P13" s="396">
        <f>P12*P11</f>
        <v>41370</v>
      </c>
      <c r="Q13" s="399"/>
      <c r="R13" s="396"/>
      <c r="S13" s="396">
        <f>S12/1000</f>
        <v>698.4591425</v>
      </c>
      <c r="T13" s="396"/>
      <c r="V13" s="105"/>
      <c r="W13" s="400"/>
      <c r="X13" s="400"/>
      <c r="Y13" s="400"/>
      <c r="Z13" s="400"/>
      <c r="AA13" s="400"/>
      <c r="AB13" s="400"/>
      <c r="AC13" s="400"/>
      <c r="AD13" s="400"/>
      <c r="AE13" s="400"/>
      <c r="AF13" s="400"/>
      <c r="AG13" s="400"/>
      <c r="AH13" s="400"/>
      <c r="AI13" s="400"/>
      <c r="AJ13" s="400"/>
      <c r="AK13" s="400"/>
      <c r="AL13" s="400"/>
      <c r="AM13" s="401"/>
      <c r="AN13" s="396"/>
      <c r="AO13" s="396"/>
      <c r="AP13" s="396"/>
      <c r="AQ13" s="396"/>
      <c r="AR13" s="396"/>
      <c r="AS13" s="396"/>
      <c r="AT13" s="396"/>
      <c r="AU13" s="396"/>
      <c r="AV13" s="396"/>
      <c r="AW13" s="396"/>
      <c r="AX13" s="396"/>
      <c r="AY13" s="397"/>
      <c r="AZ13" s="2"/>
      <c r="BA13" s="2"/>
      <c r="BB13" s="2"/>
      <c r="BC13" s="2"/>
      <c r="BD13" s="2"/>
      <c r="BE13" s="2"/>
      <c r="BF13" s="2"/>
      <c r="BG13" s="2"/>
      <c r="BH13" s="2"/>
      <c r="BI13" s="2"/>
      <c r="BJ13" s="2"/>
      <c r="BK13" s="2"/>
      <c r="BL13" s="2"/>
    </row>
    <row r="15">
      <c r="J15" s="44" t="s">
        <v>14</v>
      </c>
      <c r="K15" s="44" t="s">
        <v>15</v>
      </c>
      <c r="L15" s="44" t="s">
        <v>16</v>
      </c>
      <c r="M15" s="264" t="s">
        <v>225</v>
      </c>
      <c r="N15" s="265" t="s">
        <v>226</v>
      </c>
      <c r="O15" s="265" t="s">
        <v>227</v>
      </c>
      <c r="P15" s="44" t="s">
        <v>228</v>
      </c>
      <c r="Q15" s="44" t="s">
        <v>229</v>
      </c>
      <c r="R15" s="44" t="s">
        <v>230</v>
      </c>
      <c r="Y15" s="149" t="s">
        <v>595</v>
      </c>
      <c r="Z15" s="149" t="s">
        <v>16</v>
      </c>
      <c r="AA15" s="149" t="s">
        <v>15</v>
      </c>
      <c r="AB15" s="264" t="s">
        <v>225</v>
      </c>
      <c r="AC15" s="265" t="s">
        <v>226</v>
      </c>
      <c r="AD15" s="265" t="s">
        <v>227</v>
      </c>
      <c r="AG15" s="44" t="s">
        <v>603</v>
      </c>
      <c r="AH15" s="44" t="s">
        <v>604</v>
      </c>
    </row>
    <row r="16">
      <c r="I16" s="268" t="s">
        <v>231</v>
      </c>
      <c r="J16" s="269">
        <f>509.025*2</f>
        <v>1018.05</v>
      </c>
      <c r="K16" s="269">
        <f>(509.025+510.075)</f>
        <v>1019.1</v>
      </c>
      <c r="L16" s="128">
        <f>475.18*2</f>
        <v>950.36</v>
      </c>
      <c r="M16" s="128">
        <f t="shared" ref="M16:M17" si="8">J16*K16*L16</f>
        <v>985993515.4</v>
      </c>
      <c r="N16" s="128">
        <f t="shared" ref="N16:N26" si="9">M16/1000000</f>
        <v>985.9935154</v>
      </c>
      <c r="O16" s="128">
        <f t="shared" ref="O16:O24" si="10">N16-N17</f>
        <v>5.935099218</v>
      </c>
      <c r="P16" s="128"/>
      <c r="Q16" s="128"/>
      <c r="R16" s="270"/>
      <c r="X16" s="149" t="s">
        <v>242</v>
      </c>
      <c r="Y16" s="149">
        <v>857.69</v>
      </c>
      <c r="Z16" s="402">
        <v>857.69</v>
      </c>
      <c r="AA16" s="149">
        <v>790.0</v>
      </c>
      <c r="AB16" s="403">
        <f t="shared" ref="AB16:AB27" si="11">Y16*Z16*AA16</f>
        <v>581149387.5</v>
      </c>
      <c r="AC16" s="147">
        <f t="shared" ref="AC16:AC27" si="12">AB16/1000000</f>
        <v>581.1493875</v>
      </c>
      <c r="AH16" s="44">
        <v>10.0</v>
      </c>
    </row>
    <row r="17">
      <c r="I17" s="161" t="s">
        <v>33</v>
      </c>
      <c r="J17" s="147">
        <f>508.025*2</f>
        <v>1016.05</v>
      </c>
      <c r="K17" s="147">
        <f>(508.025+509.075)</f>
        <v>1017.1</v>
      </c>
      <c r="L17" s="147">
        <f>474.18*2</f>
        <v>948.36</v>
      </c>
      <c r="M17" s="147">
        <f t="shared" si="8"/>
        <v>980058416.1</v>
      </c>
      <c r="N17" s="147">
        <f t="shared" si="9"/>
        <v>980.0584161</v>
      </c>
      <c r="O17" s="147">
        <f t="shared" si="10"/>
        <v>4.457150768</v>
      </c>
      <c r="P17" s="44">
        <v>650.0</v>
      </c>
      <c r="Q17" s="147">
        <f t="shared" ref="Q17:Q25" si="13">O17*P17</f>
        <v>2897.147999</v>
      </c>
      <c r="R17" s="47">
        <f t="shared" ref="R17:R25" si="14">Q17/1000</f>
        <v>2.897147999</v>
      </c>
      <c r="X17" s="265" t="s">
        <v>605</v>
      </c>
      <c r="Y17" s="147">
        <f t="shared" ref="Y17:Y18" si="15">428.965*2</f>
        <v>857.93</v>
      </c>
      <c r="Z17" s="147">
        <f>429.965-428.965</f>
        <v>1</v>
      </c>
      <c r="AA17" s="147">
        <f t="shared" ref="AA17:AA18" si="16">395.12*2</f>
        <v>790.24</v>
      </c>
      <c r="AB17" s="403">
        <f t="shared" si="11"/>
        <v>677970.6032</v>
      </c>
      <c r="AC17" s="147">
        <f t="shared" si="12"/>
        <v>0.6779706032</v>
      </c>
      <c r="AD17" s="147">
        <f>AC16+AC17</f>
        <v>581.8273581</v>
      </c>
      <c r="AG17" s="147">
        <f>395.12-395</f>
        <v>0.12</v>
      </c>
      <c r="AH17" s="147">
        <f>AG17*AH16</f>
        <v>1.2</v>
      </c>
    </row>
    <row r="18">
      <c r="I18" s="161" t="s">
        <v>233</v>
      </c>
      <c r="J18" s="147">
        <f>507.125*2</f>
        <v>1014.25</v>
      </c>
      <c r="K18" s="147">
        <f>(507.125+509.075)</f>
        <v>1016.2</v>
      </c>
      <c r="L18" s="147">
        <f>473.28*2</f>
        <v>946.56</v>
      </c>
      <c r="M18" s="147">
        <f>J18*L18*K18</f>
        <v>975601265.4</v>
      </c>
      <c r="N18" s="147">
        <f t="shared" si="9"/>
        <v>975.6012654</v>
      </c>
      <c r="O18" s="147">
        <f t="shared" si="10"/>
        <v>137.2408712</v>
      </c>
      <c r="P18" s="44">
        <v>88.0</v>
      </c>
      <c r="Q18" s="147">
        <f t="shared" si="13"/>
        <v>12077.19667</v>
      </c>
      <c r="R18" s="47">
        <f t="shared" si="14"/>
        <v>12.07719667</v>
      </c>
      <c r="X18" s="404" t="s">
        <v>606</v>
      </c>
      <c r="Y18" s="405">
        <f t="shared" si="15"/>
        <v>857.93</v>
      </c>
      <c r="Z18" s="405">
        <f>428.965-395.12</f>
        <v>33.845</v>
      </c>
      <c r="AA18" s="405">
        <f t="shared" si="16"/>
        <v>790.24</v>
      </c>
      <c r="AB18" s="406">
        <f t="shared" si="11"/>
        <v>22945915.07</v>
      </c>
      <c r="AC18" s="405">
        <f t="shared" si="12"/>
        <v>22.94591507</v>
      </c>
      <c r="AD18" s="147">
        <f>AD17+AC18</f>
        <v>604.7732732</v>
      </c>
    </row>
    <row r="19">
      <c r="I19" s="161" t="s">
        <v>239</v>
      </c>
      <c r="J19" s="147">
        <f>478.025*2</f>
        <v>956.05</v>
      </c>
      <c r="K19" s="147">
        <f>478.025+509.075</f>
        <v>987.1</v>
      </c>
      <c r="L19" s="147">
        <f>444.18*2</f>
        <v>888.36</v>
      </c>
      <c r="M19" s="147">
        <f t="shared" ref="M19:M24" si="17">J19*K19*L19</f>
        <v>838360394.1</v>
      </c>
      <c r="N19" s="147">
        <f t="shared" si="9"/>
        <v>838.3603941</v>
      </c>
      <c r="O19" s="147">
        <f t="shared" si="10"/>
        <v>0.2694055549</v>
      </c>
      <c r="P19" s="44">
        <v>1330.0</v>
      </c>
      <c r="Q19" s="147">
        <f t="shared" si="13"/>
        <v>358.309388</v>
      </c>
      <c r="R19" s="47">
        <f t="shared" si="14"/>
        <v>0.358309388</v>
      </c>
      <c r="X19" s="149" t="s">
        <v>607</v>
      </c>
      <c r="Y19" s="147">
        <f>430.165*2</f>
        <v>860.33</v>
      </c>
      <c r="Z19" s="147">
        <f>509.075-430.165</f>
        <v>78.91</v>
      </c>
      <c r="AA19" s="147">
        <f>396.32*2</f>
        <v>792.64</v>
      </c>
      <c r="AB19" s="403">
        <f t="shared" si="11"/>
        <v>53811251.85</v>
      </c>
      <c r="AC19" s="147">
        <f t="shared" si="12"/>
        <v>53.81125185</v>
      </c>
      <c r="AD19" s="147">
        <f t="shared" ref="AD19:AD27" si="18">AC19+AD18</f>
        <v>658.584525</v>
      </c>
      <c r="AG19" s="147">
        <f>396.32-395.12</f>
        <v>1.2</v>
      </c>
      <c r="AH19" s="147">
        <f>AG19*AH16</f>
        <v>12</v>
      </c>
    </row>
    <row r="20">
      <c r="I20" s="161" t="s">
        <v>233</v>
      </c>
      <c r="J20" s="147">
        <f>477.965*2</f>
        <v>955.93</v>
      </c>
      <c r="K20" s="147">
        <f>(477.965+509.075)</f>
        <v>987.04</v>
      </c>
      <c r="L20" s="147">
        <f>444.12*2</f>
        <v>888.24</v>
      </c>
      <c r="M20" s="147">
        <f t="shared" si="17"/>
        <v>838090988.6</v>
      </c>
      <c r="N20" s="147">
        <f t="shared" si="9"/>
        <v>838.0909886</v>
      </c>
      <c r="O20" s="147">
        <f t="shared" si="10"/>
        <v>38.92013784</v>
      </c>
      <c r="P20" s="44">
        <v>88.0</v>
      </c>
      <c r="Q20" s="147">
        <f t="shared" si="13"/>
        <v>3424.97213</v>
      </c>
      <c r="R20" s="47">
        <f t="shared" si="14"/>
        <v>3.42497213</v>
      </c>
      <c r="X20" s="149" t="s">
        <v>233</v>
      </c>
      <c r="Y20" s="147">
        <f>466.765*2</f>
        <v>933.53</v>
      </c>
      <c r="Z20" s="147">
        <f>509.075-466.765</f>
        <v>42.31</v>
      </c>
      <c r="AA20" s="147">
        <f>432.92*2</f>
        <v>865.84</v>
      </c>
      <c r="AB20" s="403">
        <f t="shared" si="11"/>
        <v>34198649</v>
      </c>
      <c r="AC20" s="147">
        <f t="shared" si="12"/>
        <v>34.198649</v>
      </c>
      <c r="AD20" s="147">
        <f t="shared" si="18"/>
        <v>692.783174</v>
      </c>
      <c r="AG20" s="147">
        <f>432.92-396.32</f>
        <v>36.6</v>
      </c>
      <c r="AH20" s="147">
        <f t="shared" ref="AH20:AH27" si="19">AG20*10</f>
        <v>366</v>
      </c>
    </row>
    <row r="21">
      <c r="I21" s="161" t="s">
        <v>33</v>
      </c>
      <c r="J21" s="147">
        <f>469.165*2</f>
        <v>938.33</v>
      </c>
      <c r="K21" s="147">
        <f>509.075+469.165</f>
        <v>978.24</v>
      </c>
      <c r="L21" s="147">
        <f>435.32*2</f>
        <v>870.64</v>
      </c>
      <c r="M21" s="147">
        <f t="shared" si="17"/>
        <v>799170850.7</v>
      </c>
      <c r="N21" s="147">
        <f t="shared" si="9"/>
        <v>799.1708507</v>
      </c>
      <c r="O21" s="147">
        <f t="shared" si="10"/>
        <v>5.216555924</v>
      </c>
      <c r="P21" s="44">
        <v>650.0</v>
      </c>
      <c r="Q21" s="147">
        <f t="shared" si="13"/>
        <v>3390.761351</v>
      </c>
      <c r="R21" s="47">
        <f t="shared" si="14"/>
        <v>3.390761351</v>
      </c>
      <c r="X21" s="149" t="s">
        <v>607</v>
      </c>
      <c r="Y21" s="147">
        <f>467.965*2</f>
        <v>935.93</v>
      </c>
      <c r="Z21" s="147">
        <f>509.075-467.965</f>
        <v>41.11</v>
      </c>
      <c r="AA21" s="147">
        <f>434.12*2</f>
        <v>868.24</v>
      </c>
      <c r="AB21" s="403">
        <f t="shared" si="11"/>
        <v>33406473.7</v>
      </c>
      <c r="AC21" s="147">
        <f t="shared" si="12"/>
        <v>33.4064737</v>
      </c>
      <c r="AD21" s="147">
        <f t="shared" si="18"/>
        <v>726.1896477</v>
      </c>
      <c r="AG21" s="147">
        <f>434.12-432.92</f>
        <v>1.2</v>
      </c>
      <c r="AH21" s="147">
        <f t="shared" si="19"/>
        <v>12</v>
      </c>
    </row>
    <row r="22">
      <c r="I22" s="161" t="s">
        <v>33</v>
      </c>
      <c r="J22" s="147">
        <f>467.965*2</f>
        <v>935.93</v>
      </c>
      <c r="K22" s="147">
        <f>467.965+509.075</f>
        <v>977.04</v>
      </c>
      <c r="L22" s="147">
        <f>434.12*2</f>
        <v>868.24</v>
      </c>
      <c r="M22" s="147">
        <f t="shared" si="17"/>
        <v>793954294.8</v>
      </c>
      <c r="N22" s="147">
        <f t="shared" si="9"/>
        <v>793.9542948</v>
      </c>
      <c r="O22" s="147">
        <f t="shared" si="10"/>
        <v>5.194908404</v>
      </c>
      <c r="P22" s="44">
        <v>650.0</v>
      </c>
      <c r="Q22" s="147">
        <f t="shared" si="13"/>
        <v>3376.690463</v>
      </c>
      <c r="R22" s="47">
        <f t="shared" si="14"/>
        <v>3.376690463</v>
      </c>
      <c r="X22" s="149" t="s">
        <v>607</v>
      </c>
      <c r="Y22" s="147">
        <f>469.165*2</f>
        <v>938.33</v>
      </c>
      <c r="Z22" s="147">
        <f>509.075-469.165</f>
        <v>39.91</v>
      </c>
      <c r="AA22" s="147">
        <f>435.32*2</f>
        <v>870.64</v>
      </c>
      <c r="AB22" s="403">
        <f t="shared" si="11"/>
        <v>32604379.96</v>
      </c>
      <c r="AC22" s="147">
        <f t="shared" si="12"/>
        <v>32.60437996</v>
      </c>
      <c r="AD22" s="147">
        <f t="shared" si="18"/>
        <v>758.7940277</v>
      </c>
      <c r="AG22" s="147">
        <f>435.32-434.12</f>
        <v>1.2</v>
      </c>
      <c r="AH22" s="147">
        <f t="shared" si="19"/>
        <v>12</v>
      </c>
    </row>
    <row r="23">
      <c r="I23" s="161" t="s">
        <v>233</v>
      </c>
      <c r="J23" s="147">
        <f>466.765*2</f>
        <v>933.53</v>
      </c>
      <c r="K23" s="147">
        <f>466.765+509.075</f>
        <v>975.84</v>
      </c>
      <c r="L23" s="147">
        <f>432.92*2</f>
        <v>865.84</v>
      </c>
      <c r="M23" s="147">
        <f t="shared" si="17"/>
        <v>788759386.4</v>
      </c>
      <c r="N23" s="147">
        <f t="shared" si="9"/>
        <v>788.7593864</v>
      </c>
      <c r="O23" s="147">
        <f t="shared" si="10"/>
        <v>148.2616018</v>
      </c>
      <c r="P23" s="44">
        <v>88.0</v>
      </c>
      <c r="Q23" s="147">
        <f t="shared" si="13"/>
        <v>13047.02096</v>
      </c>
      <c r="R23" s="47">
        <f t="shared" si="14"/>
        <v>13.04702096</v>
      </c>
      <c r="X23" s="149" t="s">
        <v>233</v>
      </c>
      <c r="Y23" s="147">
        <f>477.965*2</f>
        <v>955.93</v>
      </c>
      <c r="Z23" s="147">
        <f>509.075-477.965</f>
        <v>31.11</v>
      </c>
      <c r="AA23" s="147">
        <f>444.12*2</f>
        <v>888.24</v>
      </c>
      <c r="AB23" s="403">
        <f t="shared" si="11"/>
        <v>26415353.64</v>
      </c>
      <c r="AC23" s="147">
        <f t="shared" si="12"/>
        <v>26.41535364</v>
      </c>
      <c r="AD23" s="147">
        <f t="shared" si="18"/>
        <v>785.2093813</v>
      </c>
      <c r="AG23" s="147">
        <f>444.12-435.32</f>
        <v>8.8</v>
      </c>
      <c r="AH23" s="147">
        <f t="shared" si="19"/>
        <v>88</v>
      </c>
    </row>
    <row r="24">
      <c r="I24" s="161" t="s">
        <v>33</v>
      </c>
      <c r="J24" s="147">
        <f>430.165*2</f>
        <v>860.33</v>
      </c>
      <c r="K24" s="147">
        <f>430.165+509.075</f>
        <v>939.24</v>
      </c>
      <c r="L24" s="147">
        <f>396.32*2</f>
        <v>792.64</v>
      </c>
      <c r="M24" s="147">
        <f t="shared" si="17"/>
        <v>640497784.6</v>
      </c>
      <c r="N24" s="147">
        <f t="shared" si="9"/>
        <v>640.4977846</v>
      </c>
      <c r="O24" s="147">
        <f t="shared" si="10"/>
        <v>4.534240004</v>
      </c>
      <c r="P24" s="44">
        <v>650.0</v>
      </c>
      <c r="Q24" s="147">
        <f t="shared" si="13"/>
        <v>2947.256003</v>
      </c>
      <c r="R24" s="47">
        <f t="shared" si="14"/>
        <v>2.947256003</v>
      </c>
      <c r="X24" s="149" t="s">
        <v>608</v>
      </c>
      <c r="Y24" s="147">
        <f>478.025*2</f>
        <v>956.05</v>
      </c>
      <c r="Z24" s="147">
        <f>509.075-478.025</f>
        <v>31.05</v>
      </c>
      <c r="AA24" s="147">
        <f>444.18*2</f>
        <v>888.36</v>
      </c>
      <c r="AB24" s="403">
        <f t="shared" si="11"/>
        <v>26371279.75</v>
      </c>
      <c r="AC24" s="147">
        <f t="shared" si="12"/>
        <v>26.37127975</v>
      </c>
      <c r="AD24" s="147">
        <f t="shared" si="18"/>
        <v>811.5806611</v>
      </c>
      <c r="AG24" s="147">
        <f>444.18-444.12</f>
        <v>0.06</v>
      </c>
      <c r="AH24" s="147">
        <f t="shared" si="19"/>
        <v>0.6</v>
      </c>
    </row>
    <row r="25">
      <c r="I25" s="161" t="s">
        <v>241</v>
      </c>
      <c r="J25" s="147">
        <f>428.965*2</f>
        <v>857.93</v>
      </c>
      <c r="K25" s="147">
        <f>428.965+509.075</f>
        <v>938.04</v>
      </c>
      <c r="L25" s="147">
        <f>395.12*2</f>
        <v>790.24</v>
      </c>
      <c r="M25" s="147">
        <f t="shared" ref="M25:M26" si="20">J25*L25*K25</f>
        <v>635963544.6</v>
      </c>
      <c r="N25" s="147">
        <f t="shared" si="9"/>
        <v>635.9635446</v>
      </c>
      <c r="O25" s="147">
        <f>N25-N26-N28</f>
        <v>0.5561815977</v>
      </c>
      <c r="P25" s="44">
        <v>7820.0</v>
      </c>
      <c r="Q25" s="147">
        <f t="shared" si="13"/>
        <v>4349.340094</v>
      </c>
      <c r="R25" s="47">
        <f t="shared" si="14"/>
        <v>4.349340094</v>
      </c>
      <c r="X25" s="149" t="s">
        <v>233</v>
      </c>
      <c r="Y25" s="147">
        <f>507.125*2</f>
        <v>1014.25</v>
      </c>
      <c r="Z25" s="147">
        <f>509.075-507.125</f>
        <v>1.95</v>
      </c>
      <c r="AA25" s="147">
        <f>473.28*2</f>
        <v>946.56</v>
      </c>
      <c r="AB25" s="403">
        <f t="shared" si="11"/>
        <v>1872094.536</v>
      </c>
      <c r="AC25" s="147">
        <f t="shared" si="12"/>
        <v>1.872094536</v>
      </c>
      <c r="AD25" s="147">
        <f t="shared" si="18"/>
        <v>813.4527556</v>
      </c>
      <c r="AG25" s="147">
        <f>473.28-444.18</f>
        <v>29.1</v>
      </c>
      <c r="AH25" s="147">
        <f t="shared" si="19"/>
        <v>291</v>
      </c>
    </row>
    <row r="26">
      <c r="I26" s="161" t="s">
        <v>242</v>
      </c>
      <c r="J26" s="147">
        <f>428.845*2</f>
        <v>857.69</v>
      </c>
      <c r="K26" s="147">
        <f>428.875+428.845</f>
        <v>857.72</v>
      </c>
      <c r="L26" s="147">
        <f>395*2</f>
        <v>790</v>
      </c>
      <c r="M26" s="147">
        <f t="shared" si="20"/>
        <v>581169714.8</v>
      </c>
      <c r="N26" s="147">
        <f t="shared" si="9"/>
        <v>581.1697148</v>
      </c>
      <c r="R26" s="47"/>
      <c r="X26" s="149" t="s">
        <v>607</v>
      </c>
      <c r="Y26" s="147">
        <f>508.025*2</f>
        <v>1016.05</v>
      </c>
      <c r="Z26" s="147">
        <f>509.075-508.025</f>
        <v>1.05</v>
      </c>
      <c r="AA26" s="147">
        <f>474.18*2</f>
        <v>948.36</v>
      </c>
      <c r="AB26" s="403">
        <f t="shared" si="11"/>
        <v>1011760.237</v>
      </c>
      <c r="AC26" s="147">
        <f t="shared" si="12"/>
        <v>1.011760237</v>
      </c>
      <c r="AD26" s="147">
        <f t="shared" si="18"/>
        <v>814.4645158</v>
      </c>
      <c r="AG26" s="147">
        <f>474.18-473.28</f>
        <v>0.9</v>
      </c>
      <c r="AH26" s="147">
        <f t="shared" si="19"/>
        <v>9</v>
      </c>
    </row>
    <row r="27">
      <c r="I27" s="139"/>
      <c r="R27" s="47"/>
      <c r="X27" s="265" t="s">
        <v>231</v>
      </c>
      <c r="Y27" s="147">
        <f>509.025*2</f>
        <v>1018.05</v>
      </c>
      <c r="Z27" s="147">
        <f>510.075-509.025</f>
        <v>1.05</v>
      </c>
      <c r="AA27" s="147">
        <f>475.18*2</f>
        <v>950.36</v>
      </c>
      <c r="AB27" s="403">
        <f t="shared" si="11"/>
        <v>1015889.698</v>
      </c>
      <c r="AC27" s="147">
        <f t="shared" si="12"/>
        <v>1.015889698</v>
      </c>
      <c r="AD27" s="147">
        <f t="shared" si="18"/>
        <v>815.4804055</v>
      </c>
      <c r="AE27" s="147">
        <f>AD27-AD26</f>
        <v>1.015889698</v>
      </c>
      <c r="AG27" s="147">
        <f>475.18-474.18</f>
        <v>1</v>
      </c>
      <c r="AH27" s="147">
        <f t="shared" si="19"/>
        <v>10</v>
      </c>
    </row>
    <row r="28">
      <c r="I28" s="161" t="s">
        <v>118</v>
      </c>
      <c r="J28" s="44">
        <f>428.965*2</f>
        <v>857.93</v>
      </c>
      <c r="K28" s="147">
        <f>509.075-429.075</f>
        <v>80</v>
      </c>
      <c r="L28" s="147">
        <f>395.12*2</f>
        <v>790.24</v>
      </c>
      <c r="M28" s="147">
        <f>J28*K28*L28</f>
        <v>54237648.26</v>
      </c>
      <c r="N28" s="147">
        <f>M28/1000000</f>
        <v>54.23764826</v>
      </c>
      <c r="Q28" s="44">
        <f>SUM(Q16:Q26)</f>
        <v>45868.69505</v>
      </c>
      <c r="R28" s="47"/>
      <c r="X28" s="44" t="s">
        <v>609</v>
      </c>
      <c r="AC28" s="147">
        <f>SUM(AC16:AC27)</f>
        <v>815.4804055</v>
      </c>
      <c r="AG28" s="147" t="str">
        <f>SUM(AG19:AG276)</f>
        <v>#REF!</v>
      </c>
      <c r="AH28" s="147">
        <f>SUM(AH19:AH27)</f>
        <v>800.6</v>
      </c>
    </row>
    <row r="29">
      <c r="I29" s="139"/>
      <c r="Q29" s="147">
        <f>Q28/1000</f>
        <v>45.86869505</v>
      </c>
      <c r="R29" s="47"/>
      <c r="AG29" s="44" t="s">
        <v>610</v>
      </c>
    </row>
    <row r="30">
      <c r="I30" s="139"/>
      <c r="R30" s="47"/>
    </row>
    <row r="31">
      <c r="I31" s="108"/>
      <c r="J31" s="106"/>
      <c r="K31" s="106"/>
      <c r="L31" s="106"/>
      <c r="M31" s="106"/>
      <c r="N31" s="106"/>
      <c r="O31" s="106"/>
      <c r="P31" s="106"/>
      <c r="Q31" s="106"/>
      <c r="R31" s="284"/>
    </row>
    <row r="63">
      <c r="Y63" s="407" t="s">
        <v>595</v>
      </c>
      <c r="Z63" s="407" t="s">
        <v>16</v>
      </c>
      <c r="AA63" s="407" t="s">
        <v>15</v>
      </c>
      <c r="AB63" s="407" t="s">
        <v>226</v>
      </c>
      <c r="AD63" s="44" t="s">
        <v>611</v>
      </c>
    </row>
    <row r="64">
      <c r="X64" s="407" t="s">
        <v>242</v>
      </c>
      <c r="Y64" s="407">
        <f>857.69</f>
        <v>857.69</v>
      </c>
      <c r="Z64" s="407">
        <v>857.69</v>
      </c>
      <c r="AA64" s="407">
        <v>790.0</v>
      </c>
      <c r="AB64" s="147">
        <v>581.149387519</v>
      </c>
      <c r="AC64" s="147">
        <f>AB64</f>
        <v>581.1493875</v>
      </c>
    </row>
    <row r="65">
      <c r="X65" s="407" t="s">
        <v>605</v>
      </c>
      <c r="Y65" s="147">
        <v>857.93</v>
      </c>
      <c r="Z65" s="147">
        <v>1.0</v>
      </c>
      <c r="AA65" s="147">
        <v>790.24</v>
      </c>
      <c r="AB65" s="147">
        <v>0.6779706032</v>
      </c>
      <c r="AC65" s="147">
        <f>AB65+AC64</f>
        <v>581.8273581</v>
      </c>
      <c r="AD65" s="147">
        <f>AC65-AC64</f>
        <v>0.6779706032</v>
      </c>
    </row>
    <row r="66">
      <c r="X66" s="407" t="s">
        <v>606</v>
      </c>
      <c r="Y66" s="147">
        <v>857.93</v>
      </c>
      <c r="Z66" s="147">
        <v>33.84499999999997</v>
      </c>
      <c r="AA66" s="147">
        <v>790.24</v>
      </c>
      <c r="AB66" s="147">
        <v>22.945915065303982</v>
      </c>
      <c r="AC66" s="147">
        <f t="shared" ref="AC66:AC75" si="21">AC65+AB66</f>
        <v>604.7732732</v>
      </c>
    </row>
    <row r="67">
      <c r="X67" s="407" t="s">
        <v>607</v>
      </c>
      <c r="Y67" s="147">
        <v>860.33</v>
      </c>
      <c r="Z67" s="147">
        <v>78.90999999999997</v>
      </c>
      <c r="AA67" s="147">
        <v>792.64</v>
      </c>
      <c r="AB67" s="147">
        <v>53.81125184739198</v>
      </c>
      <c r="AC67" s="147">
        <f t="shared" si="21"/>
        <v>658.584525</v>
      </c>
      <c r="AD67" s="147">
        <f t="shared" ref="AD67:AD75" si="22">AC67-AC66</f>
        <v>53.81125185</v>
      </c>
    </row>
    <row r="68">
      <c r="X68" s="407" t="s">
        <v>233</v>
      </c>
      <c r="Y68" s="147">
        <v>933.53</v>
      </c>
      <c r="Z68" s="147">
        <v>42.31</v>
      </c>
      <c r="AA68" s="147">
        <v>865.84</v>
      </c>
      <c r="AB68" s="147">
        <v>34.198648999112</v>
      </c>
      <c r="AC68" s="147">
        <f t="shared" si="21"/>
        <v>692.783174</v>
      </c>
      <c r="AD68" s="147">
        <f t="shared" si="22"/>
        <v>34.198649</v>
      </c>
    </row>
    <row r="69">
      <c r="X69" s="407" t="s">
        <v>607</v>
      </c>
      <c r="Y69" s="147">
        <v>935.93</v>
      </c>
      <c r="Z69" s="147">
        <v>41.110000000000014</v>
      </c>
      <c r="AA69" s="147">
        <v>868.24</v>
      </c>
      <c r="AB69" s="147">
        <v>33.40647369615201</v>
      </c>
      <c r="AC69" s="147">
        <f t="shared" si="21"/>
        <v>726.1896477</v>
      </c>
      <c r="AD69" s="147">
        <f t="shared" si="22"/>
        <v>33.4064737</v>
      </c>
    </row>
    <row r="70">
      <c r="X70" s="407" t="s">
        <v>607</v>
      </c>
      <c r="Y70" s="147">
        <v>938.33</v>
      </c>
      <c r="Z70" s="147">
        <v>39.90999999999997</v>
      </c>
      <c r="AA70" s="147">
        <v>870.64</v>
      </c>
      <c r="AB70" s="147">
        <v>32.604379961191974</v>
      </c>
      <c r="AC70" s="147">
        <f t="shared" si="21"/>
        <v>758.7940277</v>
      </c>
      <c r="AD70" s="147">
        <f t="shared" si="22"/>
        <v>32.60437996</v>
      </c>
    </row>
    <row r="71">
      <c r="X71" s="407" t="s">
        <v>233</v>
      </c>
      <c r="Y71" s="147">
        <v>955.93</v>
      </c>
      <c r="Z71" s="147">
        <v>31.110000000000014</v>
      </c>
      <c r="AA71" s="147">
        <v>888.24</v>
      </c>
      <c r="AB71" s="147">
        <v>26.41535363815201</v>
      </c>
      <c r="AC71" s="147">
        <f t="shared" si="21"/>
        <v>785.2093813</v>
      </c>
      <c r="AD71" s="147">
        <f t="shared" si="22"/>
        <v>26.41535364</v>
      </c>
    </row>
    <row r="72">
      <c r="X72" s="407" t="s">
        <v>608</v>
      </c>
      <c r="Y72" s="147">
        <v>956.05</v>
      </c>
      <c r="Z72" s="147">
        <v>31.05000000000001</v>
      </c>
      <c r="AA72" s="147">
        <v>888.36</v>
      </c>
      <c r="AB72" s="147">
        <v>26.371279746900008</v>
      </c>
      <c r="AC72" s="147">
        <f t="shared" si="21"/>
        <v>811.5806611</v>
      </c>
      <c r="AD72" s="147">
        <f t="shared" si="22"/>
        <v>26.37127975</v>
      </c>
    </row>
    <row r="73">
      <c r="X73" s="407" t="s">
        <v>233</v>
      </c>
      <c r="Y73" s="147">
        <v>1014.25</v>
      </c>
      <c r="Z73" s="147">
        <v>1.9499999999999886</v>
      </c>
      <c r="AA73" s="147">
        <v>946.56</v>
      </c>
      <c r="AB73" s="147">
        <v>1.8720945359999892</v>
      </c>
      <c r="AC73" s="147">
        <f t="shared" si="21"/>
        <v>813.4527556</v>
      </c>
      <c r="AD73" s="147">
        <f t="shared" si="22"/>
        <v>1.872094536</v>
      </c>
    </row>
    <row r="74">
      <c r="X74" s="407" t="s">
        <v>607</v>
      </c>
      <c r="Y74" s="147">
        <v>1016.05</v>
      </c>
      <c r="Z74" s="147">
        <v>1.0500000000000114</v>
      </c>
      <c r="AA74" s="147">
        <v>948.36</v>
      </c>
      <c r="AB74" s="147">
        <v>1.011760236900011</v>
      </c>
      <c r="AC74" s="147">
        <f t="shared" si="21"/>
        <v>814.4645158</v>
      </c>
      <c r="AD74" s="147">
        <f t="shared" si="22"/>
        <v>1.011760237</v>
      </c>
    </row>
    <row r="75">
      <c r="X75" s="407" t="s">
        <v>231</v>
      </c>
      <c r="Y75" s="147">
        <v>1018.05</v>
      </c>
      <c r="Z75" s="147">
        <v>1.0500000000000114</v>
      </c>
      <c r="AA75" s="147">
        <v>950.36</v>
      </c>
      <c r="AB75" s="147">
        <v>1.015889697900011</v>
      </c>
      <c r="AC75" s="147">
        <f t="shared" si="21"/>
        <v>815.4804055</v>
      </c>
      <c r="AD75" s="147">
        <f t="shared" si="22"/>
        <v>1.015889698</v>
      </c>
    </row>
  </sheetData>
  <mergeCells count="2">
    <mergeCell ref="I2:K2"/>
    <mergeCell ref="AK2:AL2"/>
  </mergeCells>
  <drawing r:id="rId1"/>
</worksheet>
</file>