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EE_RetainWall\"/>
    </mc:Choice>
  </mc:AlternateContent>
  <xr:revisionPtr revIDLastSave="0" documentId="13_ncr:1_{B8B05E36-D1D1-456E-B1BE-D7D08F766A5B}" xr6:coauthVersionLast="47" xr6:coauthVersionMax="47" xr10:uidLastSave="{00000000-0000-0000-0000-000000000000}"/>
  <bookViews>
    <workbookView xWindow="1755" yWindow="1065" windowWidth="25125" windowHeight="14130" xr2:uid="{109437E8-C759-4536-91BF-952118887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D74" i="1"/>
  <c r="D73" i="1"/>
  <c r="D72" i="1"/>
  <c r="E3" i="1"/>
  <c r="B36" i="1" s="1"/>
  <c r="E16" i="1"/>
  <c r="C59" i="1" s="1"/>
  <c r="D36" i="1"/>
  <c r="D27" i="1"/>
  <c r="D23" i="1"/>
  <c r="D34" i="1" s="1"/>
  <c r="B26" i="1"/>
  <c r="D35" i="1" s="1"/>
  <c r="E14" i="1"/>
  <c r="T4" i="1" s="1"/>
  <c r="B15" i="1"/>
  <c r="E13" i="1" s="1"/>
  <c r="K4" i="1" s="1"/>
  <c r="R4" i="1"/>
  <c r="I4" i="1"/>
  <c r="E2" i="1"/>
  <c r="K36" i="1"/>
  <c r="B37" i="1" l="1"/>
  <c r="F36" i="1"/>
  <c r="E18" i="1"/>
  <c r="K61" i="1" s="1"/>
  <c r="D37" i="1"/>
  <c r="R5" i="1"/>
  <c r="S5" i="1" s="1"/>
  <c r="S8" i="1" s="1"/>
  <c r="T8" i="1" s="1"/>
  <c r="R8" i="1"/>
  <c r="I8" i="1"/>
  <c r="B34" i="1"/>
  <c r="F34" i="1" s="1"/>
  <c r="I5" i="1"/>
  <c r="J5" i="1" s="1"/>
  <c r="J8" i="1" s="1"/>
  <c r="K8" i="1" s="1"/>
  <c r="K3" i="1"/>
  <c r="B35" i="1"/>
  <c r="F35" i="1" s="1"/>
  <c r="T3" i="1"/>
  <c r="F37" i="1" l="1"/>
  <c r="F38" i="1" s="1"/>
  <c r="B38" i="1"/>
  <c r="D71" i="1" s="1"/>
  <c r="D78" i="1" s="1"/>
  <c r="R9" i="1"/>
  <c r="R15" i="1" s="1"/>
  <c r="R16" i="1" s="1"/>
  <c r="I9" i="1"/>
  <c r="I15" i="1" s="1"/>
  <c r="I16" i="1" s="1"/>
  <c r="K5" i="1"/>
  <c r="M4" i="1" s="1"/>
  <c r="T5" i="1"/>
  <c r="V4" i="1" s="1"/>
  <c r="H63" i="1" s="1"/>
  <c r="D69" i="1" l="1"/>
  <c r="L70" i="1"/>
  <c r="D70" i="1" s="1"/>
  <c r="S9" i="1"/>
  <c r="S16" i="1"/>
  <c r="T16" i="1" s="1"/>
  <c r="C50" i="1"/>
  <c r="C58" i="1"/>
  <c r="C45" i="1"/>
  <c r="J9" i="1"/>
  <c r="N4" i="1"/>
  <c r="O4" i="1" s="1"/>
  <c r="K34" i="1" s="1"/>
  <c r="W4" i="1"/>
  <c r="X4" i="1" s="1"/>
  <c r="T9" i="1" l="1"/>
  <c r="S15" i="1"/>
  <c r="T15" i="1" s="1"/>
  <c r="V15" i="1" s="1"/>
  <c r="H65" i="1" s="1"/>
  <c r="H58" i="1"/>
  <c r="H62" i="1"/>
  <c r="K9" i="1"/>
  <c r="J15" i="1"/>
  <c r="W15" i="1" l="1"/>
  <c r="V8" i="1"/>
  <c r="H64" i="1" s="1"/>
  <c r="H66" i="1" s="1"/>
  <c r="W8" i="1"/>
  <c r="X8" i="1" s="1"/>
  <c r="M8" i="1"/>
  <c r="K60" i="1" s="1"/>
  <c r="K62" i="1" s="1"/>
  <c r="N8" i="1"/>
  <c r="O8" i="1" s="1"/>
  <c r="J16" i="1"/>
  <c r="K16" i="1" s="1"/>
  <c r="K15" i="1"/>
  <c r="H54" i="1" l="1"/>
  <c r="I54" i="1" s="1"/>
  <c r="D76" i="1"/>
  <c r="H55" i="1"/>
  <c r="N15" i="1"/>
  <c r="C57" i="1"/>
  <c r="K35" i="1"/>
  <c r="K38" i="1" s="1"/>
  <c r="M15" i="1"/>
  <c r="F83" i="1" l="1"/>
  <c r="O83" i="1"/>
  <c r="E30" i="1"/>
  <c r="F30" i="1" s="1"/>
  <c r="D77" i="1"/>
  <c r="I55" i="1"/>
  <c r="E46" i="1"/>
  <c r="E47" i="1" s="1"/>
  <c r="E48" i="1" s="1"/>
  <c r="F77" i="1" l="1"/>
  <c r="O84" i="1"/>
  <c r="F84" i="1"/>
  <c r="O85" i="1"/>
  <c r="N86" i="1" s="1"/>
  <c r="F85" i="1"/>
  <c r="E86" i="1" s="1"/>
  <c r="C51" i="1"/>
  <c r="C52" i="1"/>
  <c r="E52" i="1" l="1"/>
</calcChain>
</file>

<file path=xl/sharedStrings.xml><?xml version="1.0" encoding="utf-8"?>
<sst xmlns="http://schemas.openxmlformats.org/spreadsheetml/2006/main" count="198" uniqueCount="129">
  <si>
    <t>top of wall</t>
  </si>
  <si>
    <t>frontside soil</t>
  </si>
  <si>
    <t>Passive Pressures</t>
  </si>
  <si>
    <t>Active Pressure</t>
  </si>
  <si>
    <t>Wall Height, H</t>
  </si>
  <si>
    <t>ft</t>
  </si>
  <si>
    <t>bottom of stem</t>
  </si>
  <si>
    <t>backside soil</t>
  </si>
  <si>
    <t>WALL STEM</t>
  </si>
  <si>
    <t>FOOTING</t>
  </si>
  <si>
    <t>top of ftg</t>
  </si>
  <si>
    <t>bot of ftg</t>
  </si>
  <si>
    <t>FootingHt</t>
  </si>
  <si>
    <t xml:space="preserve">in = </t>
  </si>
  <si>
    <t>KeyHt</t>
  </si>
  <si>
    <t>in =</t>
  </si>
  <si>
    <t>KEY</t>
  </si>
  <si>
    <t>top of Key</t>
  </si>
  <si>
    <t>bot of Key</t>
  </si>
  <si>
    <t>soil depth</t>
  </si>
  <si>
    <t>below top of wall</t>
  </si>
  <si>
    <t>soil level</t>
  </si>
  <si>
    <t>pressure</t>
  </si>
  <si>
    <t>gamma</t>
  </si>
  <si>
    <t>pcf</t>
  </si>
  <si>
    <t>Ka</t>
  </si>
  <si>
    <t>Kp</t>
  </si>
  <si>
    <t>Ka*gamma</t>
  </si>
  <si>
    <t>Kp*gamma</t>
  </si>
  <si>
    <t>Force</t>
  </si>
  <si>
    <t>Loc</t>
  </si>
  <si>
    <t>(from top of wall)</t>
  </si>
  <si>
    <t>kips</t>
  </si>
  <si>
    <t>Wall</t>
  </si>
  <si>
    <t>Base</t>
  </si>
  <si>
    <t>Stem</t>
  </si>
  <si>
    <t>Stem Thickness</t>
  </si>
  <si>
    <t>Base Width</t>
  </si>
  <si>
    <t>in</t>
  </si>
  <si>
    <t>Toe</t>
  </si>
  <si>
    <t>Heel</t>
  </si>
  <si>
    <t>concrete density</t>
  </si>
  <si>
    <t>lbs</t>
  </si>
  <si>
    <t>Key</t>
  </si>
  <si>
    <t>Distance from Toe</t>
  </si>
  <si>
    <t>Key Width</t>
  </si>
  <si>
    <t>Soil</t>
  </si>
  <si>
    <t xml:space="preserve">ft  </t>
  </si>
  <si>
    <t>lb-ft/ft</t>
  </si>
  <si>
    <t>Overturning Moment</t>
  </si>
  <si>
    <t>Active Pressure on Wall and slab only</t>
  </si>
  <si>
    <t>(from bot of slab)</t>
  </si>
  <si>
    <t>No Key loads</t>
  </si>
  <si>
    <t>TOTAL RESIST</t>
  </si>
  <si>
    <t>TOTAL APPLIED</t>
  </si>
  <si>
    <t>FactorOfSafetyOverturning</t>
  </si>
  <si>
    <t>-- can be 2.0 for heavy surcharge</t>
  </si>
  <si>
    <t>LoadSurcharge</t>
  </si>
  <si>
    <t>psf</t>
  </si>
  <si>
    <t>plf</t>
  </si>
  <si>
    <t>plf @ H/2</t>
  </si>
  <si>
    <t>Slab</t>
  </si>
  <si>
    <t>Surcharge</t>
  </si>
  <si>
    <t>---&gt; Force</t>
  </si>
  <si>
    <t>Bearing Capacity</t>
  </si>
  <si>
    <t>-- can be up to 3.0 -- requires eccentricty check</t>
  </si>
  <si>
    <t>OVERTURNING</t>
  </si>
  <si>
    <t>Factor of Safety --&gt;</t>
  </si>
  <si>
    <t>VERTICAL LOADS )WEIGHTS)</t>
  </si>
  <si>
    <t>Stabilizing Moment</t>
  </si>
  <si>
    <t>SOIL PRESSURE ON FOOTING</t>
  </si>
  <si>
    <t>TOTAL  VERT.</t>
  </si>
  <si>
    <t xml:space="preserve">Stabilizing Moment = </t>
  </si>
  <si>
    <t xml:space="preserve">Eccentricty Check: </t>
  </si>
  <si>
    <t>xr = (Mst-Mot) / Vert</t>
  </si>
  <si>
    <t>e = B/2 - xr</t>
  </si>
  <si>
    <t>Soil Bearing Pressures</t>
  </si>
  <si>
    <t>q_avg = V/B</t>
  </si>
  <si>
    <t>q_toe = q_avg(1+6e/B)</t>
  </si>
  <si>
    <t>q_heel = q_avg(1-6e/B)</t>
  </si>
  <si>
    <t>q_bearing_cap =</t>
  </si>
  <si>
    <t>SLIDING CHECKS</t>
  </si>
  <si>
    <t xml:space="preserve">Driving lateral force = </t>
  </si>
  <si>
    <t>lb/ft</t>
  </si>
  <si>
    <t>FrictionAngle</t>
  </si>
  <si>
    <t>deg</t>
  </si>
  <si>
    <t xml:space="preserve">mu = </t>
  </si>
  <si>
    <t>surface friction</t>
  </si>
  <si>
    <t>coefficient of friction =</t>
  </si>
  <si>
    <t>neglect passive pressure</t>
  </si>
  <si>
    <t>Net vertical load on Base, V =</t>
  </si>
  <si>
    <t>Resisting Friction</t>
  </si>
  <si>
    <t>Soil R_Fric =  V * mu</t>
  </si>
  <si>
    <t>Applied Lateral (neglect key)</t>
  </si>
  <si>
    <t>FactorOfSafetySliding</t>
  </si>
  <si>
    <t>soil</t>
  </si>
  <si>
    <t>surcharge</t>
  </si>
  <si>
    <t>TOTAL =</t>
  </si>
  <si>
    <t>NO PASSIVE</t>
  </si>
  <si>
    <t>NO PASSIVE RESIST</t>
  </si>
  <si>
    <t>W/ PASSIVE RESIST</t>
  </si>
  <si>
    <t>WITH PASSIVE</t>
  </si>
  <si>
    <t>TOTAL</t>
  </si>
  <si>
    <t>SHEAR REQUIRED BY PIERS</t>
  </si>
  <si>
    <t>Shear required by Pier</t>
  </si>
  <si>
    <t>Pier Spacing</t>
  </si>
  <si>
    <t>PierSpacing</t>
  </si>
  <si>
    <t>plf -- neglects passive, neglects friction, neglects key</t>
  </si>
  <si>
    <t>PierEmbed</t>
  </si>
  <si>
    <t>PierDiameter</t>
  </si>
  <si>
    <t>Moment @ top of Pier</t>
  </si>
  <si>
    <t>MOMENT REQUIRED BY PIERS</t>
  </si>
  <si>
    <t>AXIAL REQ BY PIERS</t>
  </si>
  <si>
    <t>Axial required by Pier</t>
  </si>
  <si>
    <t>lb-in</t>
  </si>
  <si>
    <t>PIER ANALYSIS</t>
  </si>
  <si>
    <t>lb-ft ---&gt;</t>
  </si>
  <si>
    <t>Pier Diameter</t>
  </si>
  <si>
    <t>For Force Equilibirum  Pp &gt;= H  and Mp &gt;= M</t>
  </si>
  <si>
    <t>For moment equilibrium -- L = (3M/(Kp*gamma)^0.333</t>
  </si>
  <si>
    <t>For force equilibrium -- L = sqrt(2*horiz_force_top/(kp*gamma))</t>
  </si>
  <si>
    <t>L_min =</t>
  </si>
  <si>
    <t>FOR FULL PASSIVE ON PIER</t>
  </si>
  <si>
    <t>FOR PARTIAL (50%) PASSIVE ON PIER</t>
  </si>
  <si>
    <t>For Force Equilibirum  Pp &gt;=Horiz  and Mp &gt;= M</t>
  </si>
  <si>
    <t>For force equilibrium -- L = sqrt(2*horiz_force_top/(kp*gamma)/0.5)</t>
  </si>
  <si>
    <t>MOMENT REQUIRED BY PIER = Horiz Stem * moment arm to top of slab</t>
  </si>
  <si>
    <t>arm = H/3</t>
  </si>
  <si>
    <t>plf -- neglects passive, neglects friction, neglects key, neglects 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</si>
</sst>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0" xfId="0" quotePrefix="1" applyFill="1"/>
    <xf numFmtId="0" fontId="2" fillId="4" borderId="2" xfId="0" applyFont="1" applyFill="1" applyBorder="1"/>
    <xf numFmtId="0" fontId="0" fillId="4" borderId="3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0" borderId="2" xfId="0" applyFont="1" applyBorder="1"/>
    <xf numFmtId="0" fontId="0" fillId="0" borderId="4" xfId="0" applyBorder="1"/>
    <xf numFmtId="0" fontId="0" fillId="0" borderId="3" xfId="0" applyBorder="1"/>
    <xf numFmtId="0" fontId="2" fillId="3" borderId="0" xfId="0" applyFont="1" applyFill="1"/>
    <xf numFmtId="0" fontId="2" fillId="3" borderId="2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5" borderId="0" xfId="0" applyFill="1"/>
    <xf numFmtId="0" fontId="2" fillId="5" borderId="0" xfId="0" applyFont="1" applyFill="1"/>
    <xf numFmtId="0" fontId="2" fillId="5" borderId="2" xfId="0" applyFont="1" applyFill="1" applyBorder="1"/>
    <xf numFmtId="0" fontId="0" fillId="5" borderId="3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0" xfId="0" quotePrefix="1" applyFill="1"/>
    <xf numFmtId="0" fontId="2" fillId="5" borderId="0" xfId="0" applyFont="1" applyFill="1" applyBorder="1"/>
    <xf numFmtId="0" fontId="0" fillId="5" borderId="1" xfId="0" applyFill="1" applyBorder="1"/>
    <xf numFmtId="0" fontId="0" fillId="6" borderId="0" xfId="0" applyFill="1"/>
    <xf numFmtId="0" fontId="2" fillId="6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2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CF03-54B9-47A5-A339-9C84471A006A}">
  <dimension ref="A1:X86"/>
  <sheetViews>
    <sheetView tabSelected="1" workbookViewId="0">
      <selection activeCell="C7" sqref="C7"/>
    </sheetView>
  </sheetViews>
  <sheetFormatPr defaultRowHeight="14.25"/>
  <cols>
    <col min="1" max="1" width="14" bestFit="1" customWidth="1"/>
    <col min="5" max="5" width="14.625" bestFit="1" customWidth="1"/>
    <col min="6" max="6" width="13.125" customWidth="1"/>
    <col min="9" max="9" width="11.625" customWidth="1"/>
    <col min="14" max="14" width="20.375" customWidth="1"/>
    <col min="23" max="23" width="14.625" bestFit="1" customWidth="1"/>
  </cols>
  <sheetData>
    <row r="1" spans="1:24">
      <c r="A1" t="s">
        <v>4</v>
      </c>
      <c r="C1" s="1">
        <v>13</v>
      </c>
      <c r="D1" t="s">
        <v>5</v>
      </c>
      <c r="H1" t="s">
        <v>3</v>
      </c>
      <c r="M1" t="s">
        <v>29</v>
      </c>
      <c r="N1" t="s">
        <v>30</v>
      </c>
      <c r="Q1" t="s">
        <v>2</v>
      </c>
      <c r="V1" t="s">
        <v>29</v>
      </c>
      <c r="W1" t="s">
        <v>30</v>
      </c>
    </row>
    <row r="2" spans="1:24" ht="15">
      <c r="A2" t="s">
        <v>12</v>
      </c>
      <c r="C2" s="1">
        <v>12</v>
      </c>
      <c r="D2" t="s">
        <v>13</v>
      </c>
      <c r="E2">
        <f>C2/12</f>
        <v>1</v>
      </c>
      <c r="F2" t="s">
        <v>5</v>
      </c>
      <c r="H2" s="2" t="s">
        <v>8</v>
      </c>
      <c r="J2" t="s">
        <v>19</v>
      </c>
      <c r="K2" t="s">
        <v>22</v>
      </c>
      <c r="N2" t="s">
        <v>31</v>
      </c>
      <c r="O2" t="s">
        <v>51</v>
      </c>
      <c r="Q2" s="2" t="s">
        <v>8</v>
      </c>
      <c r="S2" t="s">
        <v>19</v>
      </c>
      <c r="T2" t="s">
        <v>22</v>
      </c>
      <c r="W2" t="s">
        <v>31</v>
      </c>
      <c r="X2" t="s">
        <v>51</v>
      </c>
    </row>
    <row r="3" spans="1:24">
      <c r="A3" t="s">
        <v>14</v>
      </c>
      <c r="C3" s="1">
        <v>0</v>
      </c>
      <c r="D3" s="3" t="s">
        <v>38</v>
      </c>
      <c r="E3">
        <f>C3/12</f>
        <v>0</v>
      </c>
      <c r="F3" t="s">
        <v>5</v>
      </c>
      <c r="H3" t="s">
        <v>0</v>
      </c>
      <c r="I3">
        <v>0</v>
      </c>
      <c r="J3">
        <v>0</v>
      </c>
      <c r="K3">
        <f>J3*$E$13</f>
        <v>0</v>
      </c>
      <c r="M3" t="s">
        <v>32</v>
      </c>
      <c r="N3" t="s">
        <v>5</v>
      </c>
      <c r="Q3" t="s">
        <v>0</v>
      </c>
      <c r="R3">
        <v>0</v>
      </c>
      <c r="S3">
        <v>0</v>
      </c>
      <c r="T3">
        <f>S3*$E$14</f>
        <v>0</v>
      </c>
      <c r="V3" t="s">
        <v>32</v>
      </c>
      <c r="W3" t="s">
        <v>5</v>
      </c>
    </row>
    <row r="4" spans="1:24">
      <c r="A4" t="s">
        <v>106</v>
      </c>
      <c r="C4" s="1">
        <v>7</v>
      </c>
      <c r="D4" t="s">
        <v>5</v>
      </c>
      <c r="H4" t="s">
        <v>21</v>
      </c>
      <c r="I4">
        <f>$B$10</f>
        <v>0</v>
      </c>
      <c r="J4">
        <v>0</v>
      </c>
      <c r="K4">
        <f>J4*$E$13</f>
        <v>0</v>
      </c>
      <c r="M4">
        <f>0.5*(K5+K4)*(J5-J4)</f>
        <v>3379.9662000000003</v>
      </c>
      <c r="N4">
        <f>I4+(0.5*(I5-I4)^2*K4+0.67*(I5-I4)^2*(K5-K4)/2)/(0.5*(K5+K4)*(I5-I4))</f>
        <v>8.7100000000000009</v>
      </c>
      <c r="O4">
        <f>$C$1+$E$2-N4</f>
        <v>5.2899999999999991</v>
      </c>
      <c r="Q4" t="s">
        <v>21</v>
      </c>
      <c r="R4">
        <f>$B$9</f>
        <v>10</v>
      </c>
      <c r="S4">
        <v>0</v>
      </c>
      <c r="T4">
        <f>S4*$E$14</f>
        <v>0</v>
      </c>
      <c r="V4">
        <f>0.5*(T5+T4)*(S5-S4)</f>
        <v>1620</v>
      </c>
      <c r="W4">
        <f>R4+(0.5*(R5-R4)^2*T4+0.67*(R5-R4)^2*(T5-T4)/2)/(0.5*(T5+T4)*(R5-R4))</f>
        <v>12.01</v>
      </c>
      <c r="X4">
        <f>$C$1+$E$2-W4</f>
        <v>1.9900000000000002</v>
      </c>
    </row>
    <row r="5" spans="1:24">
      <c r="A5" t="s">
        <v>108</v>
      </c>
      <c r="C5" s="1">
        <v>17</v>
      </c>
      <c r="D5" t="s">
        <v>5</v>
      </c>
      <c r="H5" t="s">
        <v>6</v>
      </c>
      <c r="I5">
        <f>$C$1</f>
        <v>13</v>
      </c>
      <c r="J5">
        <f>I5-I4</f>
        <v>13</v>
      </c>
      <c r="K5">
        <f>J5*$E$13</f>
        <v>519.99480000000005</v>
      </c>
      <c r="Q5" t="s">
        <v>6</v>
      </c>
      <c r="R5">
        <f>$C$1</f>
        <v>13</v>
      </c>
      <c r="S5">
        <f>R5-R4</f>
        <v>3</v>
      </c>
      <c r="T5">
        <f>S5*$E$14</f>
        <v>1080</v>
      </c>
    </row>
    <row r="6" spans="1:24">
      <c r="A6" t="s">
        <v>109</v>
      </c>
      <c r="C6" s="1">
        <v>1.5</v>
      </c>
      <c r="D6" t="s">
        <v>5</v>
      </c>
    </row>
    <row r="7" spans="1:24" ht="15">
      <c r="H7" s="2" t="s">
        <v>9</v>
      </c>
      <c r="Q7" s="2" t="s">
        <v>9</v>
      </c>
    </row>
    <row r="8" spans="1:24">
      <c r="H8" t="s">
        <v>10</v>
      </c>
      <c r="I8">
        <f>$C$1</f>
        <v>13</v>
      </c>
      <c r="J8">
        <f>J5</f>
        <v>13</v>
      </c>
      <c r="K8">
        <f>J8*$E$13</f>
        <v>519.99480000000005</v>
      </c>
      <c r="M8">
        <f>0.5*(K9+K8)*(J9-J8)</f>
        <v>539.99459999999999</v>
      </c>
      <c r="N8">
        <f>I8+(0.5*(I9-I8)^2*K8+0.67*(I9-I8)^2*(K9-K8)/2)/(0.5*(K9+K8)*(I9-I8))</f>
        <v>13.506296296296297</v>
      </c>
      <c r="O8">
        <f>$C$1+$E$2-N8</f>
        <v>0.49370370370370331</v>
      </c>
      <c r="Q8" t="s">
        <v>10</v>
      </c>
      <c r="R8">
        <f>$C$1</f>
        <v>13</v>
      </c>
      <c r="S8">
        <f>S5</f>
        <v>3</v>
      </c>
      <c r="T8">
        <f>S8*$E$14</f>
        <v>1080</v>
      </c>
      <c r="V8">
        <f>0.5*(T9+T8)*(S9-S8)</f>
        <v>1260</v>
      </c>
      <c r="W8">
        <f>R8+(0.5*(R9-R8)^2*T8+0.67*(R9-R8)^2*(T9-T8)/2)/(0.5*(T9+T8)*(R9-R8))</f>
        <v>13.524285714285714</v>
      </c>
      <c r="X8">
        <f>$C$1+$E$2-W8</f>
        <v>0.47571428571428598</v>
      </c>
    </row>
    <row r="9" spans="1:24">
      <c r="A9" t="s">
        <v>1</v>
      </c>
      <c r="B9" s="1">
        <v>10</v>
      </c>
      <c r="C9" t="s">
        <v>20</v>
      </c>
      <c r="H9" t="s">
        <v>11</v>
      </c>
      <c r="I9">
        <f>I8+$E$2</f>
        <v>14</v>
      </c>
      <c r="J9">
        <f>J8+(I9-I8)</f>
        <v>14</v>
      </c>
      <c r="K9">
        <f>J9*$E$13</f>
        <v>559.99440000000004</v>
      </c>
      <c r="Q9" t="s">
        <v>11</v>
      </c>
      <c r="R9">
        <f>R8+$E$2</f>
        <v>14</v>
      </c>
      <c r="S9">
        <f>S5+R9-R8</f>
        <v>4</v>
      </c>
      <c r="T9">
        <f>S9*$E$14</f>
        <v>1440</v>
      </c>
    </row>
    <row r="10" spans="1:24">
      <c r="A10" t="s">
        <v>7</v>
      </c>
      <c r="B10" s="1">
        <v>0</v>
      </c>
      <c r="C10" t="s">
        <v>20</v>
      </c>
    </row>
    <row r="11" spans="1:24">
      <c r="A11" t="s">
        <v>80</v>
      </c>
      <c r="B11" s="1">
        <v>1500</v>
      </c>
      <c r="C11" t="s">
        <v>58</v>
      </c>
    </row>
    <row r="13" spans="1:24">
      <c r="A13" t="s">
        <v>23</v>
      </c>
      <c r="B13" s="1">
        <v>120</v>
      </c>
      <c r="C13" t="s">
        <v>24</v>
      </c>
      <c r="D13" t="s">
        <v>27</v>
      </c>
      <c r="E13">
        <f>B15*B13</f>
        <v>39.999600000000001</v>
      </c>
    </row>
    <row r="14" spans="1:24" ht="15">
      <c r="A14" t="s">
        <v>84</v>
      </c>
      <c r="B14" s="1">
        <v>30</v>
      </c>
      <c r="C14" t="s">
        <v>85</v>
      </c>
      <c r="D14" t="s">
        <v>28</v>
      </c>
      <c r="E14">
        <f>B16*B13</f>
        <v>360</v>
      </c>
      <c r="H14" s="2" t="s">
        <v>16</v>
      </c>
      <c r="Q14" s="2" t="s">
        <v>16</v>
      </c>
    </row>
    <row r="15" spans="1:24">
      <c r="A15" t="s">
        <v>25</v>
      </c>
      <c r="B15" s="1">
        <f>0.33333</f>
        <v>0.33333000000000002</v>
      </c>
      <c r="H15" t="s">
        <v>17</v>
      </c>
      <c r="I15">
        <f>I9</f>
        <v>14</v>
      </c>
      <c r="J15">
        <f>J9</f>
        <v>14</v>
      </c>
      <c r="K15">
        <f>J15*$E$13</f>
        <v>559.99440000000004</v>
      </c>
      <c r="M15">
        <f>0.5*(K16+K15)*(J16-J15)</f>
        <v>0</v>
      </c>
      <c r="N15" t="e">
        <f>I15+(0.5*(I16-I15)^2*K15+0.67*(I16-I15)^2*(K16-K15)/2)/(0.5*(K16+K15)*(I16-I15))</f>
        <v>#DIV/0!</v>
      </c>
      <c r="Q15" t="s">
        <v>17</v>
      </c>
      <c r="R15">
        <f>R9</f>
        <v>14</v>
      </c>
      <c r="S15">
        <f>S9</f>
        <v>4</v>
      </c>
      <c r="T15">
        <f>S15*$E$14</f>
        <v>1440</v>
      </c>
      <c r="V15">
        <f>0.5*(T16+T15)*(S16-S15)</f>
        <v>0</v>
      </c>
      <c r="W15" t="e">
        <f>R15+(0.5*(R16-R15)^2*T15+0.67*(R16-R15)^2*(T16-T15)/2)/(0.5*(T16+T15)*(R16-R15))</f>
        <v>#DIV/0!</v>
      </c>
    </row>
    <row r="16" spans="1:24">
      <c r="A16" t="s">
        <v>26</v>
      </c>
      <c r="B16" s="1">
        <v>3</v>
      </c>
      <c r="D16" t="s">
        <v>86</v>
      </c>
      <c r="E16">
        <f>TAN(0.67*B14*3.14159/180)</f>
        <v>0.36594769724513476</v>
      </c>
      <c r="F16" t="s">
        <v>87</v>
      </c>
      <c r="H16" t="s">
        <v>18</v>
      </c>
      <c r="I16">
        <f>I15+$E$3</f>
        <v>14</v>
      </c>
      <c r="J16">
        <f>J15+(I16-I15)</f>
        <v>14</v>
      </c>
      <c r="K16">
        <f>J16*$E$13</f>
        <v>559.99440000000004</v>
      </c>
      <c r="Q16" t="s">
        <v>18</v>
      </c>
      <c r="R16">
        <f>R15+$E$3</f>
        <v>14</v>
      </c>
      <c r="S16">
        <f>S9+R16-R15</f>
        <v>4</v>
      </c>
      <c r="T16">
        <f>S16*$E$14</f>
        <v>1440</v>
      </c>
    </row>
    <row r="18" spans="1:6">
      <c r="A18" t="s">
        <v>57</v>
      </c>
      <c r="B18" s="1">
        <v>0</v>
      </c>
      <c r="C18" t="s">
        <v>58</v>
      </c>
      <c r="D18" s="3" t="s">
        <v>63</v>
      </c>
      <c r="E18">
        <f>B18*C1*B15</f>
        <v>0</v>
      </c>
      <c r="F18" t="s">
        <v>60</v>
      </c>
    </row>
    <row r="21" spans="1:6">
      <c r="A21" t="s">
        <v>41</v>
      </c>
      <c r="B21" s="4">
        <v>150</v>
      </c>
      <c r="C21" t="s">
        <v>24</v>
      </c>
    </row>
    <row r="23" spans="1:6">
      <c r="A23" t="s">
        <v>36</v>
      </c>
      <c r="B23" s="4">
        <v>12</v>
      </c>
      <c r="C23" t="s">
        <v>15</v>
      </c>
      <c r="D23">
        <f>B23/12</f>
        <v>1</v>
      </c>
      <c r="E23" t="s">
        <v>5</v>
      </c>
    </row>
    <row r="24" spans="1:6">
      <c r="A24" t="s">
        <v>39</v>
      </c>
      <c r="B24" s="4">
        <v>3</v>
      </c>
      <c r="C24" t="s">
        <v>47</v>
      </c>
    </row>
    <row r="25" spans="1:6">
      <c r="A25" t="s">
        <v>40</v>
      </c>
      <c r="B25" s="4">
        <v>5</v>
      </c>
      <c r="C25" t="s">
        <v>47</v>
      </c>
    </row>
    <row r="26" spans="1:6">
      <c r="A26" t="s">
        <v>37</v>
      </c>
      <c r="B26" s="5">
        <f>B24+B25</f>
        <v>8</v>
      </c>
      <c r="C26" t="s">
        <v>47</v>
      </c>
    </row>
    <row r="27" spans="1:6">
      <c r="A27" t="s">
        <v>45</v>
      </c>
      <c r="B27" s="4">
        <v>12</v>
      </c>
      <c r="C27" t="s">
        <v>15</v>
      </c>
      <c r="D27">
        <f>B27/12</f>
        <v>1</v>
      </c>
      <c r="E27" t="s">
        <v>5</v>
      </c>
    </row>
    <row r="29" spans="1:6" ht="15" thickBot="1"/>
    <row r="30" spans="1:6" s="7" customFormat="1" ht="15.75" thickBot="1">
      <c r="A30" s="6" t="s">
        <v>66</v>
      </c>
      <c r="C30" s="11" t="s">
        <v>67</v>
      </c>
      <c r="D30" s="12"/>
      <c r="E30" s="13">
        <f>F38/K38</f>
        <v>2.5318766644584474</v>
      </c>
      <c r="F30" s="14" t="str">
        <f>IF(E30&lt;C40,"NO GOOD", "OK")</f>
        <v>OK</v>
      </c>
    </row>
    <row r="31" spans="1:6" s="7" customFormat="1"/>
    <row r="32" spans="1:6" s="7" customFormat="1">
      <c r="D32" s="7" t="s">
        <v>44</v>
      </c>
      <c r="F32" s="7" t="s">
        <v>69</v>
      </c>
    </row>
    <row r="33" spans="1:12" s="7" customFormat="1" ht="15">
      <c r="A33" s="6" t="s">
        <v>68</v>
      </c>
      <c r="D33" s="7" t="s">
        <v>5</v>
      </c>
      <c r="F33" s="7" t="s">
        <v>48</v>
      </c>
      <c r="K33" s="7" t="s">
        <v>49</v>
      </c>
    </row>
    <row r="34" spans="1:12" s="7" customFormat="1">
      <c r="A34" s="7" t="s">
        <v>33</v>
      </c>
      <c r="B34" s="7">
        <f>C1*B23/12*$B$21</f>
        <v>1950</v>
      </c>
      <c r="C34" s="7" t="s">
        <v>59</v>
      </c>
      <c r="D34" s="7">
        <f>B24+D23/2</f>
        <v>3.5</v>
      </c>
      <c r="F34" s="7">
        <f>B34*D34</f>
        <v>6825</v>
      </c>
      <c r="J34" s="7" t="s">
        <v>35</v>
      </c>
      <c r="K34" s="7">
        <f>O4*M4</f>
        <v>17880.021197999999</v>
      </c>
    </row>
    <row r="35" spans="1:12" s="7" customFormat="1">
      <c r="A35" s="7" t="s">
        <v>34</v>
      </c>
      <c r="B35" s="7">
        <f>B26*E2*B21</f>
        <v>1200</v>
      </c>
      <c r="C35" s="7" t="s">
        <v>59</v>
      </c>
      <c r="D35" s="7">
        <f>B26/2</f>
        <v>4</v>
      </c>
      <c r="F35" s="7">
        <f t="shared" ref="F35:F37" si="0">B35*D35</f>
        <v>4800</v>
      </c>
      <c r="J35" s="7" t="s">
        <v>61</v>
      </c>
      <c r="K35" s="7">
        <f>O8*M8</f>
        <v>266.59733399999976</v>
      </c>
    </row>
    <row r="36" spans="1:12" s="7" customFormat="1">
      <c r="A36" s="7" t="s">
        <v>43</v>
      </c>
      <c r="B36" s="7">
        <f>E3*B27*B21/12</f>
        <v>0</v>
      </c>
      <c r="C36" s="7" t="s">
        <v>59</v>
      </c>
      <c r="D36" s="7">
        <f>B24+B27/2/12</f>
        <v>3.5</v>
      </c>
      <c r="F36" s="7">
        <f t="shared" si="0"/>
        <v>0</v>
      </c>
      <c r="J36" s="7" t="s">
        <v>62</v>
      </c>
      <c r="K36" s="7">
        <f>B18*C1/2</f>
        <v>0</v>
      </c>
    </row>
    <row r="37" spans="1:12" s="7" customFormat="1">
      <c r="A37" s="8" t="s">
        <v>46</v>
      </c>
      <c r="B37" s="8">
        <f>(B26-B24-D23)*B13*$C$1</f>
        <v>6240</v>
      </c>
      <c r="C37" s="7" t="s">
        <v>59</v>
      </c>
      <c r="D37" s="7">
        <f>B26-B25/2</f>
        <v>5.5</v>
      </c>
      <c r="F37" s="8">
        <f t="shared" si="0"/>
        <v>34320</v>
      </c>
      <c r="K37" s="8"/>
    </row>
    <row r="38" spans="1:12" s="7" customFormat="1" ht="15">
      <c r="A38" s="6" t="s">
        <v>71</v>
      </c>
      <c r="B38" s="7">
        <f>SUM(B34:B37)</f>
        <v>9390</v>
      </c>
      <c r="C38" s="7" t="s">
        <v>59</v>
      </c>
      <c r="E38" s="6" t="s">
        <v>53</v>
      </c>
      <c r="F38" s="9">
        <f>SUM(F34:F37)</f>
        <v>45945</v>
      </c>
      <c r="G38" s="7" t="s">
        <v>48</v>
      </c>
      <c r="I38" s="6" t="s">
        <v>54</v>
      </c>
      <c r="K38" s="7">
        <f>SUM(K34:K36)</f>
        <v>18146.618531999997</v>
      </c>
      <c r="L38" s="7" t="s">
        <v>48</v>
      </c>
    </row>
    <row r="39" spans="1:12" s="7" customFormat="1">
      <c r="K39" s="7" t="s">
        <v>52</v>
      </c>
    </row>
    <row r="40" spans="1:12" s="7" customFormat="1">
      <c r="A40" s="7" t="s">
        <v>55</v>
      </c>
      <c r="C40" s="7">
        <v>1.5</v>
      </c>
      <c r="D40" s="10" t="s">
        <v>56</v>
      </c>
      <c r="K40" s="7" t="s">
        <v>50</v>
      </c>
    </row>
    <row r="41" spans="1:12" s="7" customFormat="1"/>
    <row r="42" spans="1:12" s="7" customFormat="1">
      <c r="A42" s="7" t="s">
        <v>64</v>
      </c>
      <c r="C42" s="7">
        <v>2.5</v>
      </c>
      <c r="D42" s="10" t="s">
        <v>65</v>
      </c>
    </row>
    <row r="43" spans="1:12" s="4" customFormat="1"/>
    <row r="44" spans="1:12" s="4" customFormat="1" ht="15">
      <c r="A44" s="18" t="s">
        <v>70</v>
      </c>
    </row>
    <row r="45" spans="1:12" s="4" customFormat="1">
      <c r="A45" s="4" t="s">
        <v>72</v>
      </c>
      <c r="C45" s="4">
        <f>$F$38</f>
        <v>45945</v>
      </c>
      <c r="D45" s="4" t="s">
        <v>48</v>
      </c>
    </row>
    <row r="46" spans="1:12" s="4" customFormat="1">
      <c r="A46" s="4" t="s">
        <v>73</v>
      </c>
      <c r="C46" s="4" t="s">
        <v>74</v>
      </c>
      <c r="E46" s="4">
        <f>(F38-K38)/B38</f>
        <v>2.9604240115015976</v>
      </c>
      <c r="F46" s="4" t="s">
        <v>5</v>
      </c>
    </row>
    <row r="47" spans="1:12" s="4" customFormat="1" ht="15" thickBot="1">
      <c r="C47" s="4" t="s">
        <v>75</v>
      </c>
      <c r="E47" s="4">
        <f>B26/2-E46</f>
        <v>1.0395759884984024</v>
      </c>
      <c r="F47" s="4" t="s">
        <v>5</v>
      </c>
    </row>
    <row r="48" spans="1:12" s="4" customFormat="1" ht="15.75" thickBot="1">
      <c r="E48" s="19" t="str">
        <f>IF(E47&lt;B26/6, "Resultant within middle third -- no tension", "Tension at Heel -- NO GOOD!")</f>
        <v>Resultant within middle third -- no tension</v>
      </c>
      <c r="F48" s="20"/>
    </row>
    <row r="49" spans="1:11" s="4" customFormat="1">
      <c r="A49" s="4" t="s">
        <v>76</v>
      </c>
    </row>
    <row r="50" spans="1:11" s="4" customFormat="1">
      <c r="A50" s="4" t="s">
        <v>77</v>
      </c>
      <c r="C50" s="4">
        <f>B38/B26</f>
        <v>1173.75</v>
      </c>
      <c r="D50" s="4" t="s">
        <v>58</v>
      </c>
    </row>
    <row r="51" spans="1:11" s="4" customFormat="1" ht="15" thickBot="1">
      <c r="A51" s="4" t="s">
        <v>78</v>
      </c>
      <c r="C51" s="4">
        <f>C50*(1+6*E47/B26)</f>
        <v>2088.9017373749998</v>
      </c>
      <c r="D51" s="4" t="s">
        <v>58</v>
      </c>
    </row>
    <row r="52" spans="1:11" s="4" customFormat="1" ht="15.75" thickBot="1">
      <c r="A52" s="4" t="s">
        <v>79</v>
      </c>
      <c r="C52" s="4">
        <f>C50*(1-6*E47/B26)</f>
        <v>258.59826262500013</v>
      </c>
      <c r="D52" s="4" t="s">
        <v>58</v>
      </c>
      <c r="E52" s="19" t="str">
        <f>IF(MAX(C51,C52)&gt;B11,"Bearing capacity -- NO GOOD!","Bearing capacity IS OKAY")</f>
        <v>Bearing capacity -- NO GOOD!</v>
      </c>
      <c r="F52" s="21"/>
      <c r="G52" s="20"/>
    </row>
    <row r="53" spans="1:11" s="22" customFormat="1" ht="15" thickBot="1"/>
    <row r="54" spans="1:11" s="22" customFormat="1" ht="15.75" thickBot="1">
      <c r="A54" s="23" t="s">
        <v>81</v>
      </c>
      <c r="D54" s="22" t="s">
        <v>99</v>
      </c>
      <c r="F54" s="24" t="s">
        <v>67</v>
      </c>
      <c r="G54" s="25"/>
      <c r="H54" s="26">
        <f>H58/K62</f>
        <v>0.8766028673378099</v>
      </c>
      <c r="I54" s="27" t="str">
        <f>IF(H54&lt;C56,"NO GOOD!(WITHOUT PASSIVE)", "OK")</f>
        <v>NO GOOD!(WITHOUT PASSIVE)</v>
      </c>
    </row>
    <row r="55" spans="1:11" s="22" customFormat="1" ht="15.75" thickBot="1">
      <c r="A55" s="23"/>
      <c r="C55" s="30"/>
      <c r="D55" s="28" t="s">
        <v>100</v>
      </c>
      <c r="E55" s="30"/>
      <c r="F55" s="24" t="s">
        <v>67</v>
      </c>
      <c r="G55" s="25"/>
      <c r="H55" s="26">
        <f>H66/K62</f>
        <v>1.6113040919010757</v>
      </c>
      <c r="I55" s="27" t="str">
        <f>IF(H55&lt;C57,"NO GOOD! (WITH/PASSIVE)", "OK")</f>
        <v>NO GOOD! (WITH/PASSIVE)</v>
      </c>
    </row>
    <row r="56" spans="1:11" s="22" customFormat="1">
      <c r="A56" s="22" t="s">
        <v>94</v>
      </c>
      <c r="C56" s="22">
        <v>1.5</v>
      </c>
      <c r="F56" s="22" t="s">
        <v>98</v>
      </c>
    </row>
    <row r="57" spans="1:11" s="22" customFormat="1">
      <c r="A57" s="22" t="s">
        <v>82</v>
      </c>
      <c r="C57" s="22">
        <f>M4+M8</f>
        <v>3919.9608000000003</v>
      </c>
      <c r="D57" s="28" t="s">
        <v>83</v>
      </c>
      <c r="H57" s="22" t="s">
        <v>91</v>
      </c>
    </row>
    <row r="58" spans="1:11" s="22" customFormat="1">
      <c r="A58" s="22" t="s">
        <v>90</v>
      </c>
      <c r="C58" s="22">
        <f>B38</f>
        <v>9390</v>
      </c>
      <c r="D58" s="28" t="s">
        <v>83</v>
      </c>
      <c r="F58" s="22" t="s">
        <v>92</v>
      </c>
      <c r="H58" s="22">
        <f>C58*C59</f>
        <v>3436.2488771318153</v>
      </c>
      <c r="I58" s="22" t="s">
        <v>59</v>
      </c>
    </row>
    <row r="59" spans="1:11" s="22" customFormat="1">
      <c r="A59" s="22" t="s">
        <v>88</v>
      </c>
      <c r="C59" s="22">
        <f>E16</f>
        <v>0.36594769724513476</v>
      </c>
      <c r="K59" s="22" t="s">
        <v>93</v>
      </c>
    </row>
    <row r="60" spans="1:11" s="22" customFormat="1">
      <c r="A60" s="29" t="s">
        <v>89</v>
      </c>
      <c r="F60" s="22" t="s">
        <v>101</v>
      </c>
      <c r="J60" s="22" t="s">
        <v>95</v>
      </c>
      <c r="K60" s="22">
        <f>M4+M8</f>
        <v>3919.9608000000003</v>
      </c>
    </row>
    <row r="61" spans="1:11" s="22" customFormat="1">
      <c r="H61" s="22" t="s">
        <v>91</v>
      </c>
      <c r="J61" s="31" t="s">
        <v>96</v>
      </c>
      <c r="K61" s="31">
        <f>E18</f>
        <v>0</v>
      </c>
    </row>
    <row r="62" spans="1:11" s="22" customFormat="1" ht="15">
      <c r="F62" s="22" t="s">
        <v>92</v>
      </c>
      <c r="H62" s="22">
        <f>C59*C58</f>
        <v>3436.2488771318153</v>
      </c>
      <c r="I62" s="22" t="s">
        <v>59</v>
      </c>
      <c r="J62" s="23" t="s">
        <v>97</v>
      </c>
      <c r="K62" s="22">
        <f>SUM(K60:K61)</f>
        <v>3919.9608000000003</v>
      </c>
    </row>
    <row r="63" spans="1:11" s="22" customFormat="1">
      <c r="F63" s="22" t="s">
        <v>35</v>
      </c>
      <c r="H63" s="22">
        <f>V4</f>
        <v>1620</v>
      </c>
    </row>
    <row r="64" spans="1:11" s="22" customFormat="1">
      <c r="F64" s="22" t="s">
        <v>61</v>
      </c>
      <c r="H64" s="22">
        <f>V8</f>
        <v>1260</v>
      </c>
    </row>
    <row r="65" spans="1:16" s="22" customFormat="1">
      <c r="F65" s="31" t="s">
        <v>43</v>
      </c>
      <c r="G65" s="31"/>
      <c r="H65" s="31">
        <f>V15</f>
        <v>0</v>
      </c>
    </row>
    <row r="66" spans="1:16" s="22" customFormat="1">
      <c r="G66" s="22" t="s">
        <v>102</v>
      </c>
      <c r="H66" s="22">
        <f>SUM(H62:H65)</f>
        <v>6316.2488771318149</v>
      </c>
    </row>
    <row r="67" spans="1:16" s="32" customFormat="1"/>
    <row r="68" spans="1:16" s="32" customFormat="1" ht="15">
      <c r="A68" s="33" t="s">
        <v>115</v>
      </c>
      <c r="F68" s="43"/>
      <c r="G68" s="38"/>
      <c r="H68" s="43"/>
      <c r="I68" s="43"/>
      <c r="J68" s="38"/>
      <c r="K68" s="38"/>
      <c r="L68" s="38"/>
      <c r="M68" s="38"/>
      <c r="N68" s="38"/>
      <c r="O68" s="38"/>
      <c r="P68" s="38"/>
    </row>
    <row r="69" spans="1:16" s="32" customFormat="1">
      <c r="A69" s="32" t="s">
        <v>103</v>
      </c>
      <c r="D69" s="32">
        <f>M4</f>
        <v>3379.9662000000003</v>
      </c>
      <c r="E69" s="32" t="s">
        <v>128</v>
      </c>
      <c r="K69" s="32" t="s">
        <v>126</v>
      </c>
    </row>
    <row r="70" spans="1:16" s="32" customFormat="1">
      <c r="A70" s="32" t="s">
        <v>111</v>
      </c>
      <c r="D70" s="32">
        <f>L71*L70</f>
        <v>14646.520200000001</v>
      </c>
      <c r="E70" s="32" t="s">
        <v>48</v>
      </c>
      <c r="K70" s="32" t="s">
        <v>33</v>
      </c>
      <c r="L70" s="32">
        <f>M4</f>
        <v>3379.9662000000003</v>
      </c>
      <c r="M70" s="32" t="s">
        <v>59</v>
      </c>
    </row>
    <row r="71" spans="1:16" s="32" customFormat="1">
      <c r="A71" s="32" t="s">
        <v>112</v>
      </c>
      <c r="D71" s="32">
        <f>B38</f>
        <v>9390</v>
      </c>
      <c r="E71" s="32" t="s">
        <v>107</v>
      </c>
      <c r="K71" s="32" t="s">
        <v>127</v>
      </c>
      <c r="L71" s="32">
        <f>C1/3</f>
        <v>4.333333333333333</v>
      </c>
    </row>
    <row r="72" spans="1:16" s="32" customFormat="1">
      <c r="A72" s="32" t="s">
        <v>105</v>
      </c>
      <c r="D72" s="32">
        <f>C4</f>
        <v>7</v>
      </c>
      <c r="E72" s="32" t="s">
        <v>5</v>
      </c>
    </row>
    <row r="73" spans="1:16" s="32" customFormat="1">
      <c r="A73" s="32" t="s">
        <v>108</v>
      </c>
      <c r="D73" s="32">
        <f>C5</f>
        <v>17</v>
      </c>
    </row>
    <row r="74" spans="1:16" s="32" customFormat="1">
      <c r="A74" s="32" t="s">
        <v>117</v>
      </c>
      <c r="D74" s="32">
        <f>C6</f>
        <v>1.5</v>
      </c>
    </row>
    <row r="75" spans="1:16" s="32" customFormat="1" ht="15" thickBot="1"/>
    <row r="76" spans="1:16" s="32" customFormat="1">
      <c r="A76" s="34" t="s">
        <v>104</v>
      </c>
      <c r="B76" s="35"/>
      <c r="C76" s="35"/>
      <c r="D76" s="35">
        <f>D69*D72</f>
        <v>23659.763400000003</v>
      </c>
      <c r="E76" s="35" t="s">
        <v>42</v>
      </c>
      <c r="F76" s="35"/>
      <c r="G76" s="36"/>
    </row>
    <row r="77" spans="1:16" s="32" customFormat="1">
      <c r="A77" s="37" t="s">
        <v>110</v>
      </c>
      <c r="B77" s="38"/>
      <c r="C77" s="38"/>
      <c r="D77" s="38">
        <f>D70*D72</f>
        <v>102525.64140000001</v>
      </c>
      <c r="E77" s="38" t="s">
        <v>116</v>
      </c>
      <c r="F77" s="38">
        <f>D77*12</f>
        <v>1230307.6968</v>
      </c>
      <c r="G77" s="39" t="s">
        <v>114</v>
      </c>
    </row>
    <row r="78" spans="1:16" s="32" customFormat="1" ht="15" thickBot="1">
      <c r="A78" s="40" t="s">
        <v>113</v>
      </c>
      <c r="B78" s="41"/>
      <c r="C78" s="41"/>
      <c r="D78" s="41">
        <f>D71*D72</f>
        <v>65730</v>
      </c>
      <c r="E78" s="41" t="s">
        <v>42</v>
      </c>
      <c r="F78" s="41"/>
      <c r="G78" s="42"/>
    </row>
    <row r="79" spans="1:16" s="32" customFormat="1"/>
    <row r="80" spans="1:16" s="32" customFormat="1"/>
    <row r="81" spans="1:16" s="32" customFormat="1" ht="15">
      <c r="A81" s="33" t="s">
        <v>122</v>
      </c>
      <c r="J81" s="32" t="s">
        <v>123</v>
      </c>
    </row>
    <row r="82" spans="1:16" s="32" customFormat="1">
      <c r="A82" s="32" t="s">
        <v>118</v>
      </c>
      <c r="J82" s="32" t="s">
        <v>124</v>
      </c>
    </row>
    <row r="83" spans="1:16" s="32" customFormat="1">
      <c r="A83" s="32" t="s">
        <v>120</v>
      </c>
      <c r="F83" s="32">
        <f xml:space="preserve"> SQRT(2*D76/E14)</f>
        <v>11.464865023191509</v>
      </c>
      <c r="G83" s="32" t="s">
        <v>5</v>
      </c>
      <c r="J83" s="32" t="s">
        <v>125</v>
      </c>
      <c r="O83" s="32">
        <f xml:space="preserve"> SQRT(2*$D$76/$E$14/0.5)</f>
        <v>16.213767606574361</v>
      </c>
      <c r="P83" s="32" t="s">
        <v>5</v>
      </c>
    </row>
    <row r="84" spans="1:16" s="32" customFormat="1">
      <c r="A84" s="32" t="s">
        <v>119</v>
      </c>
      <c r="F84" s="32">
        <f>(3*D77/E14)^0.333</f>
        <v>9.4675992345909865</v>
      </c>
      <c r="G84" s="32" t="s">
        <v>5</v>
      </c>
      <c r="J84" s="32" t="s">
        <v>119</v>
      </c>
      <c r="O84" s="32">
        <f>(3*D77/$E$14/0.5)^0.333</f>
        <v>11.925671834017855</v>
      </c>
      <c r="P84" s="32" t="s">
        <v>5</v>
      </c>
    </row>
    <row r="85" spans="1:16" s="32" customFormat="1" ht="15" thickBot="1">
      <c r="E85" s="38" t="s">
        <v>121</v>
      </c>
      <c r="F85" s="38">
        <f>MAX(F83,F84)</f>
        <v>11.464865023191509</v>
      </c>
      <c r="G85" s="38" t="s">
        <v>5</v>
      </c>
      <c r="N85" s="38" t="s">
        <v>121</v>
      </c>
      <c r="O85" s="38">
        <f>MAX(O83,O84)</f>
        <v>16.213767606574361</v>
      </c>
      <c r="P85" s="38" t="s">
        <v>5</v>
      </c>
    </row>
    <row r="86" spans="1:16" ht="15.75" thickBot="1">
      <c r="E86" s="15" t="str">
        <f>IF(F85&gt;D73,"Full Passive - NO GOOD. Increase Embed depth, change spacing, or diameter","OK for EMBED DEPTH")</f>
        <v>OK for EMBED DEPTH</v>
      </c>
      <c r="F86" s="17"/>
      <c r="G86" s="16"/>
      <c r="N86" s="15" t="str">
        <f>IF($O$85&gt;$D$73,"50% Passive - NO GOOD. Increase Embed depth, change spacing, or diameter","OK for EMBED DEPTH")</f>
        <v>OK for EMBED DEPTH</v>
      </c>
      <c r="O86" s="17"/>
      <c r="P8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Chu Allen</dc:creator>
  <cp:lastModifiedBy>James Allen</cp:lastModifiedBy>
  <dcterms:created xsi:type="dcterms:W3CDTF">2025-08-25T19:39:03Z</dcterms:created>
  <dcterms:modified xsi:type="dcterms:W3CDTF">2025-08-27T01:57:34Z</dcterms:modified>
</cp:coreProperties>
</file>