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updateLinks="always"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/Users/iflores/Library/CloudStorage/Dropbox/DINA-LatAm/Data/Tax-data/BRA/Raw tabulations/"/>
    </mc:Choice>
  </mc:AlternateContent>
  <xr:revisionPtr revIDLastSave="0" documentId="13_ncr:1_{EE393E59-3645-7F46-B618-B32E50B48234}" xr6:coauthVersionLast="47" xr6:coauthVersionMax="47" xr10:uidLastSave="{00000000-0000-0000-0000-000000000000}"/>
  <bookViews>
    <workbookView xWindow="420" yWindow="920" windowWidth="27320" windowHeight="13560" tabRatio="855" firstSheet="4" activeTab="8" xr2:uid="{00000000-000D-0000-FFFF-FFFF00000000}"/>
  </bookViews>
  <sheets>
    <sheet name="P1_T1" sheetId="13182" r:id="rId1"/>
    <sheet name="P2_T2" sheetId="1" r:id="rId2"/>
    <sheet name="P3_T3_gender" sheetId="13183" r:id="rId3"/>
    <sheet name="P4_P5_T4_age" sheetId="13158" r:id="rId4"/>
    <sheet name="P6_P7_T5" sheetId="13185" r:id="rId5"/>
    <sheet name="P8_P9_T6" sheetId="13203" r:id="rId6"/>
    <sheet name="P10_P11_T7" sheetId="13204" r:id="rId7"/>
    <sheet name="P12_P13_T8" sheetId="13205" r:id="rId8"/>
    <sheet name="P14_P15_T9" sheetId="13206" r:id="rId9"/>
    <sheet name="P16_P17_T10" sheetId="13207" r:id="rId10"/>
    <sheet name="P18_T11" sheetId="13208" r:id="rId11"/>
    <sheet name="P19-26_T12" sheetId="664" r:id="rId12"/>
    <sheet name="P27_40_T13" sheetId="13159" r:id="rId13"/>
    <sheet name="P41_T14" sheetId="13156" r:id="rId14"/>
    <sheet name="P42_T14" sheetId="13160" r:id="rId15"/>
    <sheet name="P43_T14" sheetId="13161" r:id="rId16"/>
    <sheet name="P44_T15" sheetId="536" r:id="rId17"/>
    <sheet name="P45_T16" sheetId="13186" r:id="rId18"/>
    <sheet name="P46_T17" sheetId="13187" r:id="rId19"/>
    <sheet name="P47_T18" sheetId="2316" r:id="rId20"/>
    <sheet name="P48_T19_taxed excl " sheetId="13188" r:id="rId21"/>
    <sheet name="P49_T20_nontaxable" sheetId="13189" r:id="rId22"/>
    <sheet name="P50_T21" sheetId="2049" r:id="rId23"/>
    <sheet name="P51_T22" sheetId="13190" r:id="rId24"/>
    <sheet name="P52_T23" sheetId="13191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_xlnm.Print_Area" localSheetId="0">P1_T1!$B$4:$V$41</definedName>
    <definedName name="__xlnm.Print_Area" localSheetId="11">'P19-26_T12'!$B$4:$G$45</definedName>
    <definedName name="__xlnm.Print_Area" localSheetId="1">P2_T2!$B$4:$V$41</definedName>
    <definedName name="__xlnm.Print_Area" localSheetId="12">P27_40_T13!$B$4:$G$46</definedName>
    <definedName name="__xlnm.Print_Area" localSheetId="2">P3_T3_gender!$B$4:$V$20</definedName>
    <definedName name="__xlnm.Print_Area" localSheetId="3">P4_P5_T4_age!$B$4:$V$44</definedName>
    <definedName name="__xlnm.Print_Area" localSheetId="13">P41_T14!$B$4:$H$36</definedName>
    <definedName name="__xlnm.Print_Area" localSheetId="14">P42_T14!#REF!</definedName>
    <definedName name="__xlnm.Print_Area" localSheetId="15">P43_T14!#REF!</definedName>
    <definedName name="__xlnm.Print_Area" localSheetId="16">P44_T15!$B$4:$E$29</definedName>
    <definedName name="__xlnm.Print_Area" localSheetId="17">P45_T16!$B$4:$F$25</definedName>
    <definedName name="__xlnm.Print_Area" localSheetId="18">P46_T17!$B$4:$F$27</definedName>
    <definedName name="__xlnm.Print_Area" localSheetId="19">P47_T18!$B$4:$H$24</definedName>
    <definedName name="__xlnm.Print_Area" localSheetId="20">'P48_T19_taxed excl '!$B$4:$H$28</definedName>
    <definedName name="__xlnm.Print_Area" localSheetId="21">P49_T20_nontaxable!$B$4:$G$40</definedName>
    <definedName name="__xlnm.Print_Area" localSheetId="22">P50_T21!$B$4:$G$41</definedName>
    <definedName name="__xlnm.Print_Area" localSheetId="23">P51_T22!$B$4:$G$26</definedName>
    <definedName name="__xlnm.Print_Area" localSheetId="24">P52_T23!$B$4:$G$54</definedName>
    <definedName name="__xlnm.Print_Area" localSheetId="4">P6_P7_T5!$B$4:$V$46</definedName>
    <definedName name="_xlnm.Print_Area" localSheetId="0">P1_T1!$B$4:$V$40</definedName>
    <definedName name="_xlnm.Print_Area" localSheetId="6">P10_P11_T7!$B$4:$V$52</definedName>
    <definedName name="_xlnm.Print_Area" localSheetId="7">P12_P13_T8!$B$4:$V$45</definedName>
    <definedName name="_xlnm.Print_Area" localSheetId="8">P14_P15_T9!$B$4:$V$45</definedName>
    <definedName name="_xlnm.Print_Area" localSheetId="9">P16_P17_T10!$B$4:$V$45</definedName>
    <definedName name="_xlnm.Print_Area" localSheetId="10">P18_T11!$B$4:$V$52</definedName>
    <definedName name="_xlnm.Print_Area" localSheetId="11">'P19-26_T12'!$B$4:$V$46</definedName>
    <definedName name="_xlnm.Print_Area" localSheetId="1">P2_T2!$B$4:$V$40</definedName>
    <definedName name="_xlnm.Print_Area" localSheetId="12">P27_40_T13!$B$4:$V$47</definedName>
    <definedName name="_xlnm.Print_Area" localSheetId="2">P3_T3_gender!$B$4:$V$42</definedName>
    <definedName name="_xlnm.Print_Area" localSheetId="3">P4_P5_T4_age!$B$4:$V$45</definedName>
    <definedName name="_xlnm.Print_Area" localSheetId="13">P41_T14!$B$4:$V$64</definedName>
    <definedName name="_xlnm.Print_Area" localSheetId="14">P42_T14!$B$4:$V$64</definedName>
    <definedName name="_xlnm.Print_Area" localSheetId="15">P43_T14!$B$4:$V$63</definedName>
    <definedName name="_xlnm.Print_Area" localSheetId="16">P44_T15!$B$4:$F$32</definedName>
    <definedName name="_xlnm.Print_Area" localSheetId="17">P45_T16!$B$4:$H$25</definedName>
    <definedName name="_xlnm.Print_Area" localSheetId="18">P46_T17!$B$4:$H$27</definedName>
    <definedName name="_xlnm.Print_Area" localSheetId="19">P47_T18!$B$4:$H$24</definedName>
    <definedName name="_xlnm.Print_Area" localSheetId="20">'P48_T19_taxed excl '!$B$4:$H$28</definedName>
    <definedName name="_xlnm.Print_Area" localSheetId="21">P49_T20_nontaxable!$B$4:$G$40</definedName>
    <definedName name="_xlnm.Print_Area" localSheetId="22">P50_T21!$B$4:$K$40</definedName>
    <definedName name="_xlnm.Print_Area" localSheetId="23">P51_T22!$B$4:$J$25</definedName>
    <definedName name="_xlnm.Print_Area" localSheetId="24">P52_T23!$B$4:$L$53</definedName>
    <definedName name="_xlnm.Print_Area" localSheetId="4">P6_P7_T5!$B$4:$V$47</definedName>
    <definedName name="_xlnm.Print_Area" localSheetId="5">P8_P9_T6!$B$4:$V$46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2" i="13206" l="1"/>
  <c r="W23" i="13206"/>
  <c r="W17" i="13206"/>
  <c r="W16" i="13206"/>
  <c r="W15" i="13206"/>
  <c r="W14" i="13206"/>
  <c r="W13" i="13206"/>
  <c r="W12" i="13206"/>
  <c r="X12" i="13206"/>
  <c r="AA12" i="13206"/>
  <c r="Y12" i="13206"/>
  <c r="AB12" i="13206"/>
  <c r="AC12" i="13206"/>
  <c r="AF12" i="13206"/>
  <c r="E48" i="13206"/>
  <c r="J62" i="13206"/>
  <c r="P49" i="13206"/>
  <c r="P50" i="13206"/>
  <c r="P51" i="13206"/>
  <c r="P52" i="13206"/>
  <c r="P53" i="13206"/>
  <c r="P54" i="13206"/>
  <c r="P55" i="13206"/>
  <c r="P56" i="13206"/>
  <c r="P57" i="13206"/>
  <c r="P58" i="13206"/>
  <c r="P48" i="13206"/>
  <c r="S49" i="13206"/>
  <c r="S50" i="13206"/>
  <c r="S51" i="13206"/>
  <c r="S52" i="13206"/>
  <c r="S53" i="13206"/>
  <c r="S54" i="13206"/>
  <c r="S55" i="13206"/>
  <c r="S56" i="13206"/>
  <c r="S57" i="13206"/>
  <c r="S58" i="13206"/>
  <c r="D49" i="13206"/>
  <c r="R49" i="13206"/>
  <c r="D50" i="13206"/>
  <c r="R50" i="13206"/>
  <c r="D51" i="13206"/>
  <c r="R51" i="13206"/>
  <c r="D52" i="13206"/>
  <c r="R52" i="13206"/>
  <c r="D53" i="13206"/>
  <c r="R53" i="13206"/>
  <c r="D54" i="13206"/>
  <c r="R54" i="13206"/>
  <c r="D55" i="13206"/>
  <c r="R55" i="13206"/>
  <c r="D56" i="13206"/>
  <c r="R56" i="13206"/>
  <c r="D57" i="13206"/>
  <c r="R57" i="13206"/>
  <c r="D58" i="13206"/>
  <c r="R58" i="13206"/>
  <c r="T49" i="13206"/>
  <c r="X13" i="13206"/>
  <c r="AA13" i="13206"/>
  <c r="Y13" i="13206"/>
  <c r="AB13" i="13206"/>
  <c r="AC13" i="13206"/>
  <c r="AF13" i="13206"/>
  <c r="E49" i="13206"/>
  <c r="X14" i="13206"/>
  <c r="AA14" i="13206"/>
  <c r="Y14" i="13206"/>
  <c r="AB14" i="13206"/>
  <c r="AC14" i="13206"/>
  <c r="AF14" i="13206"/>
  <c r="E50" i="13206"/>
  <c r="X15" i="13206"/>
  <c r="AA15" i="13206"/>
  <c r="Y15" i="13206"/>
  <c r="AB15" i="13206"/>
  <c r="AC15" i="13206"/>
  <c r="AF15" i="13206"/>
  <c r="E51" i="13206"/>
  <c r="X16" i="13206"/>
  <c r="AA16" i="13206"/>
  <c r="Y16" i="13206"/>
  <c r="AB16" i="13206"/>
  <c r="AC16" i="13206"/>
  <c r="AF16" i="13206"/>
  <c r="E52" i="13206"/>
  <c r="W18" i="13206"/>
  <c r="W19" i="13206"/>
  <c r="W20" i="13206"/>
  <c r="W21" i="13206"/>
  <c r="W22" i="13206"/>
  <c r="W24" i="13206"/>
  <c r="W25" i="13206"/>
  <c r="X17" i="13206"/>
  <c r="AA17" i="13206"/>
  <c r="Y17" i="13206"/>
  <c r="AB17" i="13206"/>
  <c r="AC17" i="13206"/>
  <c r="AF17" i="13206"/>
  <c r="E53" i="13206"/>
  <c r="X18" i="13206"/>
  <c r="AA18" i="13206"/>
  <c r="Y18" i="13206"/>
  <c r="AB18" i="13206"/>
  <c r="AC18" i="13206"/>
  <c r="AF18" i="13206"/>
  <c r="E54" i="13206"/>
  <c r="X19" i="13206"/>
  <c r="AA19" i="13206"/>
  <c r="Y19" i="13206"/>
  <c r="AB19" i="13206"/>
  <c r="AC19" i="13206"/>
  <c r="AF19" i="13206"/>
  <c r="E55" i="13206"/>
  <c r="X20" i="13206"/>
  <c r="AA20" i="13206"/>
  <c r="Y20" i="13206"/>
  <c r="AB20" i="13206"/>
  <c r="AC20" i="13206"/>
  <c r="AF20" i="13206"/>
  <c r="E56" i="13206"/>
  <c r="X21" i="13206"/>
  <c r="AA21" i="13206"/>
  <c r="Y21" i="13206"/>
  <c r="AB21" i="13206"/>
  <c r="AC21" i="13206"/>
  <c r="AF21" i="13206"/>
  <c r="E57" i="13206"/>
  <c r="X22" i="13206"/>
  <c r="AA22" i="13206"/>
  <c r="Y22" i="13206"/>
  <c r="AB22" i="13206"/>
  <c r="AC22" i="13206"/>
  <c r="AF22" i="13206"/>
  <c r="E58" i="13206"/>
  <c r="C49" i="13206"/>
  <c r="H49" i="13206"/>
  <c r="T50" i="13206"/>
  <c r="C50" i="13206"/>
  <c r="T58" i="13206"/>
  <c r="C58" i="13206"/>
  <c r="T57" i="13206"/>
  <c r="C57" i="13206"/>
  <c r="T56" i="13206"/>
  <c r="C56" i="13206"/>
  <c r="T55" i="13206"/>
  <c r="C55" i="13206"/>
  <c r="T54" i="13206"/>
  <c r="C54" i="13206"/>
  <c r="T53" i="13206"/>
  <c r="C53" i="13206"/>
  <c r="T52" i="13206"/>
  <c r="C52" i="13206"/>
  <c r="T51" i="13206"/>
  <c r="C51" i="13206"/>
  <c r="S48" i="13206"/>
  <c r="D48" i="13206"/>
  <c r="R48" i="13206"/>
  <c r="T48" i="13206"/>
  <c r="J49" i="13206"/>
  <c r="J50" i="13206"/>
  <c r="J51" i="13206"/>
  <c r="J52" i="13206"/>
  <c r="J53" i="13206"/>
  <c r="J54" i="13206"/>
  <c r="J55" i="13206"/>
  <c r="J56" i="13206"/>
  <c r="J57" i="13206"/>
  <c r="J58" i="13206"/>
  <c r="J48" i="13206"/>
  <c r="A55" i="13206"/>
  <c r="D49" i="13204"/>
  <c r="J49" i="13204"/>
  <c r="D50" i="13204"/>
  <c r="J50" i="13204"/>
  <c r="D51" i="13204"/>
  <c r="J51" i="13204"/>
  <c r="D52" i="13204"/>
  <c r="J52" i="13204"/>
  <c r="D53" i="13204"/>
  <c r="J53" i="13204"/>
  <c r="D54" i="13204"/>
  <c r="J54" i="13204"/>
  <c r="D55" i="13204"/>
  <c r="J55" i="13204"/>
  <c r="D56" i="13204"/>
  <c r="J56" i="13204"/>
  <c r="D57" i="13204"/>
  <c r="J57" i="13204"/>
  <c r="D58" i="13204"/>
  <c r="J58" i="13204"/>
  <c r="D48" i="13204"/>
  <c r="J48" i="13204"/>
  <c r="A55" i="13204"/>
  <c r="D49" i="13203"/>
  <c r="J49" i="13203"/>
  <c r="D50" i="13203"/>
  <c r="J50" i="13203"/>
  <c r="D51" i="13203"/>
  <c r="J51" i="13203"/>
  <c r="D52" i="13203"/>
  <c r="J52" i="13203"/>
  <c r="D53" i="13203"/>
  <c r="J53" i="13203"/>
  <c r="D54" i="13203"/>
  <c r="J54" i="13203"/>
  <c r="D55" i="13203"/>
  <c r="J55" i="13203"/>
  <c r="D56" i="13203"/>
  <c r="J56" i="13203"/>
  <c r="D57" i="13203"/>
  <c r="J57" i="13203"/>
  <c r="D58" i="13203"/>
  <c r="J58" i="13203"/>
  <c r="D48" i="13203"/>
  <c r="J48" i="13203"/>
  <c r="A55" i="13203"/>
  <c r="E49" i="13203"/>
  <c r="E50" i="13203"/>
  <c r="E51" i="13203"/>
  <c r="E52" i="13203"/>
  <c r="E53" i="13203"/>
  <c r="E54" i="13203"/>
  <c r="E55" i="13203"/>
  <c r="E56" i="13203"/>
  <c r="E57" i="13203"/>
  <c r="E58" i="13203"/>
  <c r="E59" i="13203"/>
  <c r="E48" i="13203"/>
  <c r="E74" i="13203"/>
  <c r="D74" i="13203"/>
  <c r="E62" i="13203"/>
  <c r="F62" i="13203"/>
  <c r="G62" i="13203"/>
  <c r="E63" i="13203"/>
  <c r="F63" i="13203"/>
  <c r="G63" i="13203"/>
  <c r="E64" i="13203"/>
  <c r="F64" i="13203"/>
  <c r="G64" i="13203"/>
  <c r="D64" i="13203"/>
  <c r="K64" i="13203"/>
  <c r="E65" i="13203"/>
  <c r="F65" i="13203"/>
  <c r="G65" i="13203"/>
  <c r="D65" i="13203"/>
  <c r="K65" i="13203"/>
  <c r="E66" i="13203"/>
  <c r="F66" i="13203"/>
  <c r="G66" i="13203"/>
  <c r="E67" i="13203"/>
  <c r="F67" i="13203"/>
  <c r="G67" i="13203"/>
  <c r="D67" i="13203"/>
  <c r="K67" i="13203"/>
  <c r="E68" i="13203"/>
  <c r="F68" i="13203"/>
  <c r="G68" i="13203"/>
  <c r="D68" i="13203"/>
  <c r="K68" i="13203"/>
  <c r="E69" i="13203"/>
  <c r="F69" i="13203"/>
  <c r="F70" i="13203"/>
  <c r="G69" i="13203"/>
  <c r="D69" i="13203"/>
  <c r="K69" i="13203"/>
  <c r="E70" i="13203"/>
  <c r="E71" i="13203"/>
  <c r="E72" i="13203"/>
  <c r="E73" i="13203"/>
  <c r="D62" i="13203"/>
  <c r="D63" i="13203"/>
  <c r="D66" i="13203"/>
  <c r="D70" i="13203"/>
  <c r="D71" i="13203"/>
  <c r="D72" i="13203"/>
  <c r="D73" i="13203"/>
  <c r="J72" i="13203"/>
  <c r="K58" i="13203"/>
  <c r="M58" i="13203"/>
  <c r="I72" i="13203"/>
  <c r="C72" i="13203"/>
  <c r="J71" i="13203"/>
  <c r="K57" i="13203"/>
  <c r="M57" i="13203"/>
  <c r="I71" i="13203"/>
  <c r="C71" i="13203"/>
  <c r="J70" i="13203"/>
  <c r="K56" i="13203"/>
  <c r="M56" i="13203"/>
  <c r="I70" i="13203"/>
  <c r="C70" i="13203"/>
  <c r="J69" i="13203"/>
  <c r="K55" i="13203"/>
  <c r="M55" i="13203"/>
  <c r="I69" i="13203"/>
  <c r="C69" i="13203"/>
  <c r="J68" i="13203"/>
  <c r="K54" i="13203"/>
  <c r="M54" i="13203"/>
  <c r="I68" i="13203"/>
  <c r="C68" i="13203"/>
  <c r="J67" i="13203"/>
  <c r="K53" i="13203"/>
  <c r="M53" i="13203"/>
  <c r="I67" i="13203"/>
  <c r="C67" i="13203"/>
  <c r="K66" i="13203"/>
  <c r="J66" i="13203"/>
  <c r="K52" i="13203"/>
  <c r="M52" i="13203"/>
  <c r="I66" i="13203"/>
  <c r="C66" i="13203"/>
  <c r="J65" i="13203"/>
  <c r="K51" i="13203"/>
  <c r="M51" i="13203"/>
  <c r="I65" i="13203"/>
  <c r="C65" i="13203"/>
  <c r="J64" i="13203"/>
  <c r="K50" i="13203"/>
  <c r="M50" i="13203"/>
  <c r="I64" i="13203"/>
  <c r="C64" i="13203"/>
  <c r="J63" i="13203"/>
  <c r="K49" i="13203"/>
  <c r="M49" i="13203"/>
  <c r="I63" i="13203"/>
  <c r="C63" i="13203"/>
  <c r="K62" i="13203"/>
  <c r="J62" i="13203"/>
  <c r="K48" i="13203"/>
  <c r="M48" i="13203"/>
  <c r="I62" i="13203"/>
  <c r="C62" i="13203"/>
  <c r="D59" i="13203"/>
  <c r="H58" i="13203"/>
  <c r="H57" i="13203"/>
  <c r="H56" i="13203"/>
  <c r="H55" i="13203"/>
  <c r="H54" i="13203"/>
  <c r="H53" i="13203"/>
  <c r="H52" i="13203"/>
  <c r="H51" i="13203"/>
  <c r="H50" i="13203"/>
  <c r="H49" i="13203"/>
  <c r="A48" i="13203"/>
  <c r="E49" i="13204"/>
  <c r="E50" i="13204"/>
  <c r="E51" i="13204"/>
  <c r="E52" i="13204"/>
  <c r="E53" i="13204"/>
  <c r="E54" i="13204"/>
  <c r="E55" i="13204"/>
  <c r="E56" i="13204"/>
  <c r="E57" i="13204"/>
  <c r="E58" i="13204"/>
  <c r="E48" i="13204"/>
  <c r="E59" i="13204"/>
  <c r="E72" i="13204"/>
  <c r="F69" i="13204"/>
  <c r="E69" i="13204"/>
  <c r="G69" i="13204"/>
  <c r="D69" i="13204"/>
  <c r="K69" i="13204"/>
  <c r="F70" i="13204"/>
  <c r="F71" i="13204"/>
  <c r="D72" i="13204"/>
  <c r="J72" i="13204"/>
  <c r="E62" i="13204"/>
  <c r="F62" i="13204"/>
  <c r="G62" i="13204"/>
  <c r="E63" i="13204"/>
  <c r="F63" i="13204"/>
  <c r="G63" i="13204"/>
  <c r="D63" i="13204"/>
  <c r="K63" i="13204"/>
  <c r="E64" i="13204"/>
  <c r="F64" i="13204"/>
  <c r="G64" i="13204"/>
  <c r="D64" i="13204"/>
  <c r="K64" i="13204"/>
  <c r="E65" i="13204"/>
  <c r="F65" i="13204"/>
  <c r="G65" i="13204"/>
  <c r="D65" i="13204"/>
  <c r="K65" i="13204"/>
  <c r="E66" i="13204"/>
  <c r="F66" i="13204"/>
  <c r="G66" i="13204"/>
  <c r="D66" i="13204"/>
  <c r="K66" i="13204"/>
  <c r="E67" i="13204"/>
  <c r="F67" i="13204"/>
  <c r="G67" i="13204"/>
  <c r="D67" i="13204"/>
  <c r="K67" i="13204"/>
  <c r="E68" i="13204"/>
  <c r="F68" i="13204"/>
  <c r="G68" i="13204"/>
  <c r="D68" i="13204"/>
  <c r="K68" i="13204"/>
  <c r="E70" i="13204"/>
  <c r="E71" i="13204"/>
  <c r="K58" i="13204"/>
  <c r="M58" i="13204"/>
  <c r="I72" i="13204"/>
  <c r="D71" i="13204"/>
  <c r="J71" i="13204"/>
  <c r="K57" i="13204"/>
  <c r="M57" i="13204"/>
  <c r="I71" i="13204"/>
  <c r="D70" i="13204"/>
  <c r="J70" i="13204"/>
  <c r="K56" i="13204"/>
  <c r="M56" i="13204"/>
  <c r="I70" i="13204"/>
  <c r="J69" i="13204"/>
  <c r="K55" i="13204"/>
  <c r="M55" i="13204"/>
  <c r="I69" i="13204"/>
  <c r="J68" i="13204"/>
  <c r="K54" i="13204"/>
  <c r="M54" i="13204"/>
  <c r="I68" i="13204"/>
  <c r="J67" i="13204"/>
  <c r="K53" i="13204"/>
  <c r="M53" i="13204"/>
  <c r="I67" i="13204"/>
  <c r="J66" i="13204"/>
  <c r="K52" i="13204"/>
  <c r="M52" i="13204"/>
  <c r="I66" i="13204"/>
  <c r="J65" i="13204"/>
  <c r="K51" i="13204"/>
  <c r="M51" i="13204"/>
  <c r="I65" i="13204"/>
  <c r="J64" i="13204"/>
  <c r="K50" i="13204"/>
  <c r="M50" i="13204"/>
  <c r="I64" i="13204"/>
  <c r="J63" i="13204"/>
  <c r="K49" i="13204"/>
  <c r="M49" i="13204"/>
  <c r="I63" i="13204"/>
  <c r="D62" i="13204"/>
  <c r="D73" i="13204"/>
  <c r="J62" i="13204"/>
  <c r="K48" i="13204"/>
  <c r="M48" i="13204"/>
  <c r="I62" i="13204"/>
  <c r="L29" i="13204"/>
  <c r="C29" i="13204"/>
  <c r="C49" i="13204"/>
  <c r="L30" i="13204"/>
  <c r="C30" i="13204"/>
  <c r="C50" i="13204"/>
  <c r="L31" i="13204"/>
  <c r="C31" i="13204"/>
  <c r="C51" i="13204"/>
  <c r="L32" i="13204"/>
  <c r="C32" i="13204"/>
  <c r="C52" i="13204"/>
  <c r="L33" i="13204"/>
  <c r="C33" i="13204"/>
  <c r="C53" i="13204"/>
  <c r="L34" i="13204"/>
  <c r="C34" i="13204"/>
  <c r="C54" i="13204"/>
  <c r="L35" i="13204"/>
  <c r="C35" i="13204"/>
  <c r="C55" i="13204"/>
  <c r="L36" i="13204"/>
  <c r="C36" i="13204"/>
  <c r="C56" i="13204"/>
  <c r="L37" i="13204"/>
  <c r="C37" i="13204"/>
  <c r="C57" i="13204"/>
  <c r="L38" i="13204"/>
  <c r="C38" i="13204"/>
  <c r="C58" i="13204"/>
  <c r="C48" i="13204"/>
  <c r="E73" i="13204"/>
  <c r="C72" i="13204"/>
  <c r="C71" i="13204"/>
  <c r="C70" i="13204"/>
  <c r="C69" i="13204"/>
  <c r="C68" i="13204"/>
  <c r="C67" i="13204"/>
  <c r="C66" i="13204"/>
  <c r="C65" i="13204"/>
  <c r="C64" i="13204"/>
  <c r="C63" i="13204"/>
  <c r="C62" i="13204"/>
  <c r="D59" i="13204"/>
  <c r="H58" i="13204"/>
  <c r="H57" i="13204"/>
  <c r="H56" i="13204"/>
  <c r="H55" i="13204"/>
  <c r="H54" i="13204"/>
  <c r="H53" i="13204"/>
  <c r="H52" i="13204"/>
  <c r="H51" i="13204"/>
  <c r="H50" i="13204"/>
  <c r="H49" i="13204"/>
  <c r="A48" i="13204"/>
  <c r="J72" i="13206"/>
  <c r="K58" i="13206"/>
  <c r="K57" i="13206"/>
  <c r="K56" i="13206"/>
  <c r="K55" i="13206"/>
  <c r="K54" i="13206"/>
  <c r="K53" i="13206"/>
  <c r="K52" i="13206"/>
  <c r="K51" i="13206"/>
  <c r="K50" i="13206"/>
  <c r="K49" i="13206"/>
  <c r="M49" i="13206"/>
  <c r="I63" i="13206"/>
  <c r="M50" i="13206"/>
  <c r="I64" i="13206"/>
  <c r="M51" i="13206"/>
  <c r="I65" i="13206"/>
  <c r="M52" i="13206"/>
  <c r="I66" i="13206"/>
  <c r="M53" i="13206"/>
  <c r="I67" i="13206"/>
  <c r="M54" i="13206"/>
  <c r="I68" i="13206"/>
  <c r="M55" i="13206"/>
  <c r="I69" i="13206"/>
  <c r="M56" i="13206"/>
  <c r="I70" i="13206"/>
  <c r="M57" i="13206"/>
  <c r="I71" i="13206"/>
  <c r="M58" i="13206"/>
  <c r="I72" i="13206"/>
  <c r="K48" i="13206"/>
  <c r="M48" i="13206"/>
  <c r="I62" i="13206"/>
  <c r="E62" i="13206"/>
  <c r="F62" i="13206"/>
  <c r="G62" i="13206"/>
  <c r="E63" i="13206"/>
  <c r="F63" i="13206"/>
  <c r="G63" i="13206"/>
  <c r="D63" i="13206"/>
  <c r="K63" i="13206"/>
  <c r="E64" i="13206"/>
  <c r="F64" i="13206"/>
  <c r="G64" i="13206"/>
  <c r="D64" i="13206"/>
  <c r="K64" i="13206"/>
  <c r="E65" i="13206"/>
  <c r="F65" i="13206"/>
  <c r="G65" i="13206"/>
  <c r="E66" i="13206"/>
  <c r="F66" i="13206"/>
  <c r="G66" i="13206"/>
  <c r="D66" i="13206"/>
  <c r="K66" i="13206"/>
  <c r="E67" i="13206"/>
  <c r="F67" i="13206"/>
  <c r="G67" i="13206"/>
  <c r="E68" i="13206"/>
  <c r="F68" i="13206"/>
  <c r="G68" i="13206"/>
  <c r="D68" i="13206"/>
  <c r="K68" i="13206"/>
  <c r="E69" i="13206"/>
  <c r="F69" i="13206"/>
  <c r="G69" i="13206"/>
  <c r="F70" i="13206"/>
  <c r="E70" i="13206"/>
  <c r="G70" i="13206"/>
  <c r="D70" i="13206"/>
  <c r="K70" i="13206"/>
  <c r="E71" i="13206"/>
  <c r="E72" i="13206"/>
  <c r="E25" i="13206"/>
  <c r="G14" i="536"/>
  <c r="X14" i="13159"/>
  <c r="H13" i="2049"/>
  <c r="G13" i="2049"/>
  <c r="X13" i="13203"/>
  <c r="Z13" i="13203"/>
  <c r="AA13" i="13203"/>
  <c r="X14" i="13203"/>
  <c r="Z14" i="13203"/>
  <c r="AA14" i="13203"/>
  <c r="X15" i="13203"/>
  <c r="Z15" i="13203"/>
  <c r="AA15" i="13203"/>
  <c r="X16" i="13203"/>
  <c r="Z16" i="13203"/>
  <c r="AA16" i="13203"/>
  <c r="X17" i="13203"/>
  <c r="Z17" i="13203"/>
  <c r="AA17" i="13203"/>
  <c r="X18" i="13203"/>
  <c r="Z18" i="13203"/>
  <c r="AA18" i="13203"/>
  <c r="X19" i="13203"/>
  <c r="Z19" i="13203"/>
  <c r="AA19" i="13203"/>
  <c r="X20" i="13203"/>
  <c r="Z20" i="13203"/>
  <c r="AA20" i="13203"/>
  <c r="X21" i="13203"/>
  <c r="Z21" i="13203"/>
  <c r="AA21" i="13203"/>
  <c r="X22" i="13203"/>
  <c r="Z22" i="13203"/>
  <c r="AA22" i="13203"/>
  <c r="X12" i="13203"/>
  <c r="Z12" i="13203"/>
  <c r="Z23" i="13203"/>
  <c r="AA23" i="13203"/>
  <c r="AA12" i="13203"/>
  <c r="X23" i="13203"/>
  <c r="D65" i="13206"/>
  <c r="D67" i="13206"/>
  <c r="D69" i="13206"/>
  <c r="D71" i="13206"/>
  <c r="D72" i="13206"/>
  <c r="D73" i="13206"/>
  <c r="E28" i="13204"/>
  <c r="E29" i="13204"/>
  <c r="E30" i="13204"/>
  <c r="E31" i="13204"/>
  <c r="E32" i="13204"/>
  <c r="E33" i="13204"/>
  <c r="E34" i="13204"/>
  <c r="E35" i="13204"/>
  <c r="E36" i="13204"/>
  <c r="E37" i="13204"/>
  <c r="E38" i="13204"/>
  <c r="E39" i="13204"/>
  <c r="D74" i="13204"/>
  <c r="I39" i="13204"/>
  <c r="I28" i="13204"/>
  <c r="J28" i="13204"/>
  <c r="I29" i="13204"/>
  <c r="J29" i="13204"/>
  <c r="I30" i="13204"/>
  <c r="J30" i="13204"/>
  <c r="J39" i="13204"/>
  <c r="I31" i="13204"/>
  <c r="J31" i="13204"/>
  <c r="I38" i="13204"/>
  <c r="J38" i="13204"/>
  <c r="I32" i="13204"/>
  <c r="J32" i="13204"/>
  <c r="I33" i="13204"/>
  <c r="J33" i="13204"/>
  <c r="I34" i="13204"/>
  <c r="J34" i="13204"/>
  <c r="I35" i="13204"/>
  <c r="J35" i="13204"/>
  <c r="I36" i="13204"/>
  <c r="J36" i="13204"/>
  <c r="I37" i="13204"/>
  <c r="J37" i="13204"/>
  <c r="D28" i="13204"/>
  <c r="G28" i="13204"/>
  <c r="F38" i="13204"/>
  <c r="D38" i="13204"/>
  <c r="H38" i="13204"/>
  <c r="E74" i="13204"/>
  <c r="D74" i="13206"/>
  <c r="E59" i="13206"/>
  <c r="C72" i="13206"/>
  <c r="C71" i="13206"/>
  <c r="C70" i="13206"/>
  <c r="C69" i="13206"/>
  <c r="C68" i="13206"/>
  <c r="C67" i="13206"/>
  <c r="C66" i="13206"/>
  <c r="C65" i="13206"/>
  <c r="C48" i="13206"/>
  <c r="C62" i="13206"/>
  <c r="A48" i="13206"/>
  <c r="AA23" i="13206"/>
  <c r="AB23" i="13206"/>
  <c r="AA27" i="13206"/>
  <c r="Y27" i="13206"/>
  <c r="H50" i="13206"/>
  <c r="H51" i="13206"/>
  <c r="H52" i="13206"/>
  <c r="H53" i="13206"/>
  <c r="H54" i="13206"/>
  <c r="H55" i="13206"/>
  <c r="H56" i="13206"/>
  <c r="H57" i="13206"/>
  <c r="H58" i="13206"/>
  <c r="AF23" i="13206"/>
  <c r="AB27" i="13206"/>
  <c r="X27" i="13206"/>
  <c r="X23" i="13206"/>
  <c r="Y23" i="13206"/>
  <c r="D42" i="13189"/>
  <c r="D41" i="13189"/>
  <c r="E74" i="13206"/>
  <c r="J63" i="13206"/>
  <c r="J64" i="13206"/>
  <c r="J65" i="13206"/>
  <c r="J66" i="13206"/>
  <c r="J67" i="13206"/>
  <c r="J68" i="13206"/>
  <c r="J69" i="13206"/>
  <c r="J70" i="13206"/>
  <c r="J71" i="13206"/>
  <c r="C63" i="13206"/>
  <c r="C64" i="13206"/>
  <c r="E73" i="13206"/>
  <c r="D59" i="13206"/>
  <c r="AC23" i="13206"/>
  <c r="K65" i="13206"/>
  <c r="K67" i="13206"/>
  <c r="K69" i="13206"/>
  <c r="D26" i="13206"/>
  <c r="D27" i="13206"/>
  <c r="D28" i="13206"/>
  <c r="D29" i="13206"/>
  <c r="D30" i="13206"/>
  <c r="D31" i="13206"/>
  <c r="D32" i="13206"/>
  <c r="D33" i="13206"/>
  <c r="D34" i="13206"/>
  <c r="D35" i="13206"/>
  <c r="D25" i="13206"/>
  <c r="E19" i="13183"/>
  <c r="X12" i="13208"/>
  <c r="N33" i="13207"/>
  <c r="E34" i="13207"/>
  <c r="F34" i="13207"/>
  <c r="E33" i="13207"/>
  <c r="F33" i="13207"/>
  <c r="E35" i="13207"/>
  <c r="F35" i="13207"/>
  <c r="E36" i="13207"/>
  <c r="F36" i="13207"/>
  <c r="E37" i="13207"/>
  <c r="F37" i="13207"/>
  <c r="E38" i="13207"/>
  <c r="F38" i="13207"/>
  <c r="E39" i="13207"/>
  <c r="F39" i="13207"/>
  <c r="E40" i="13207"/>
  <c r="F40" i="13207"/>
  <c r="E41" i="13207"/>
  <c r="F41" i="13207"/>
  <c r="E42" i="13207"/>
  <c r="F42" i="13207"/>
  <c r="E43" i="13207"/>
  <c r="F43" i="13207"/>
  <c r="E35" i="13208"/>
  <c r="E36" i="13208"/>
  <c r="E37" i="13208"/>
  <c r="E38" i="13208"/>
  <c r="E39" i="13208"/>
  <c r="E40" i="13208"/>
  <c r="E41" i="13208"/>
  <c r="E42" i="13208"/>
  <c r="E43" i="13208"/>
  <c r="E44" i="13208"/>
  <c r="E45" i="13208"/>
  <c r="E46" i="13208"/>
  <c r="E47" i="13208"/>
  <c r="E48" i="13208"/>
  <c r="E49" i="13208"/>
  <c r="E50" i="13208"/>
  <c r="E51" i="13208"/>
  <c r="E52" i="13208"/>
  <c r="E53" i="13208"/>
  <c r="E54" i="13208"/>
  <c r="E34" i="13208"/>
  <c r="F25" i="13206"/>
  <c r="G25" i="13206"/>
  <c r="H25" i="13206"/>
  <c r="G25" i="13207"/>
  <c r="D27" i="13207"/>
  <c r="D25" i="13207"/>
  <c r="E44" i="13207"/>
  <c r="D44" i="13207"/>
  <c r="I68" i="13156"/>
  <c r="I69" i="13156"/>
  <c r="I70" i="13156"/>
  <c r="I71" i="13156"/>
  <c r="I72" i="13156"/>
  <c r="I73" i="13156"/>
  <c r="I74" i="13156"/>
  <c r="I75" i="13156"/>
  <c r="I76" i="13156"/>
  <c r="I77" i="13156"/>
  <c r="I78" i="13156"/>
  <c r="I79" i="13156"/>
  <c r="I80" i="13156"/>
  <c r="I81" i="13156"/>
  <c r="I82" i="13156"/>
  <c r="I83" i="13156"/>
  <c r="I84" i="13156"/>
  <c r="I85" i="13156"/>
  <c r="I86" i="13156"/>
  <c r="I87" i="13156"/>
  <c r="I88" i="13156"/>
  <c r="I89" i="13156"/>
  <c r="I90" i="13156"/>
  <c r="I91" i="13156"/>
  <c r="I92" i="13156"/>
  <c r="I93" i="13156"/>
  <c r="I94" i="13156"/>
  <c r="I95" i="13156"/>
  <c r="I96" i="13156"/>
  <c r="I97" i="13156"/>
  <c r="I98" i="13156"/>
  <c r="I99" i="13156"/>
  <c r="I100" i="13156"/>
  <c r="I101" i="13156"/>
  <c r="I102" i="13156"/>
  <c r="I103" i="13156"/>
  <c r="I104" i="13156"/>
  <c r="I105" i="13156"/>
  <c r="I106" i="13156"/>
  <c r="I107" i="13156"/>
  <c r="I108" i="13156"/>
  <c r="I109" i="13156"/>
  <c r="I110" i="13156"/>
  <c r="I111" i="13156"/>
  <c r="I112" i="13156"/>
  <c r="I113" i="13156"/>
  <c r="I114" i="13156"/>
  <c r="I67" i="13156"/>
  <c r="I51" i="13159"/>
  <c r="I53" i="13159"/>
  <c r="G58" i="13159"/>
  <c r="I58" i="13159"/>
  <c r="F14" i="13188"/>
  <c r="F15" i="13188"/>
  <c r="F16" i="13188"/>
  <c r="F17" i="13188"/>
  <c r="F18" i="13188"/>
  <c r="F19" i="13188"/>
  <c r="F20" i="13188"/>
  <c r="F21" i="13188"/>
  <c r="F22" i="13188"/>
  <c r="F23" i="13188"/>
  <c r="F24" i="13188"/>
  <c r="F25" i="13188"/>
  <c r="F26" i="13188"/>
  <c r="W13" i="13205"/>
  <c r="W14" i="13205"/>
  <c r="W15" i="13205"/>
  <c r="W16" i="13205"/>
  <c r="W17" i="13205"/>
  <c r="W18" i="13205"/>
  <c r="W19" i="13205"/>
  <c r="W20" i="13205"/>
  <c r="W21" i="13205"/>
  <c r="W22" i="13205"/>
  <c r="W12" i="13205"/>
  <c r="R25" i="13206"/>
  <c r="AF25" i="13206"/>
  <c r="R26" i="13206"/>
  <c r="AF26" i="13206"/>
  <c r="R27" i="13206"/>
  <c r="AF27" i="13206"/>
  <c r="R28" i="13206"/>
  <c r="AF28" i="13206"/>
  <c r="R29" i="13206"/>
  <c r="AF29" i="13206"/>
  <c r="R30" i="13206"/>
  <c r="AF30" i="13206"/>
  <c r="R31" i="13206"/>
  <c r="AF31" i="13206"/>
  <c r="R32" i="13206"/>
  <c r="AF32" i="13206"/>
  <c r="R33" i="13206"/>
  <c r="AF33" i="13206"/>
  <c r="R34" i="13206"/>
  <c r="AF34" i="13206"/>
  <c r="R35" i="13206"/>
  <c r="AF35" i="13206"/>
  <c r="Q25" i="13206"/>
  <c r="T25" i="13206"/>
  <c r="U25" i="13206"/>
  <c r="P25" i="13206"/>
  <c r="E26" i="13206"/>
  <c r="F26" i="13206"/>
  <c r="G26" i="13206"/>
  <c r="H26" i="13206"/>
  <c r="E27" i="13206"/>
  <c r="F27" i="13206"/>
  <c r="G27" i="13206"/>
  <c r="H27" i="13206"/>
  <c r="E28" i="13206"/>
  <c r="F28" i="13206"/>
  <c r="G28" i="13206"/>
  <c r="H28" i="13206"/>
  <c r="E29" i="13206"/>
  <c r="F29" i="13206"/>
  <c r="G29" i="13206"/>
  <c r="H29" i="13206"/>
  <c r="E30" i="13206"/>
  <c r="F30" i="13206"/>
  <c r="G30" i="13206"/>
  <c r="H30" i="13206"/>
  <c r="E31" i="13206"/>
  <c r="F31" i="13206"/>
  <c r="G31" i="13206"/>
  <c r="H31" i="13206"/>
  <c r="E32" i="13206"/>
  <c r="F32" i="13206"/>
  <c r="G32" i="13206"/>
  <c r="H32" i="13206"/>
  <c r="E33" i="13206"/>
  <c r="F33" i="13206"/>
  <c r="G33" i="13206"/>
  <c r="H33" i="13206"/>
  <c r="E34" i="13206"/>
  <c r="F34" i="13206"/>
  <c r="G34" i="13206"/>
  <c r="H34" i="13206"/>
  <c r="E35" i="13206"/>
  <c r="F35" i="13206"/>
  <c r="G35" i="13206"/>
  <c r="H35" i="13206"/>
  <c r="E68" i="13156"/>
  <c r="E67" i="13156"/>
  <c r="E91" i="13156"/>
  <c r="D91" i="13156"/>
  <c r="D92" i="13156"/>
  <c r="D93" i="13156"/>
  <c r="D94" i="13156"/>
  <c r="D95" i="13156"/>
  <c r="E92" i="13156"/>
  <c r="E93" i="13156"/>
  <c r="E94" i="13156"/>
  <c r="E95" i="13156"/>
  <c r="J91" i="13156"/>
  <c r="F71" i="13156"/>
  <c r="H71" i="13156"/>
  <c r="H67" i="13161"/>
  <c r="H68" i="13161"/>
  <c r="H69" i="13161"/>
  <c r="H70" i="13161"/>
  <c r="H71" i="13161"/>
  <c r="H72" i="13161"/>
  <c r="H73" i="13161"/>
  <c r="H74" i="13161"/>
  <c r="H75" i="13161"/>
  <c r="H76" i="13161"/>
  <c r="H77" i="13161"/>
  <c r="H78" i="13161"/>
  <c r="H79" i="13161"/>
  <c r="H80" i="13161"/>
  <c r="H81" i="13161"/>
  <c r="H82" i="13161"/>
  <c r="H83" i="13161"/>
  <c r="H84" i="13161"/>
  <c r="H85" i="13161"/>
  <c r="H86" i="13161"/>
  <c r="H87" i="13161"/>
  <c r="H88" i="13161"/>
  <c r="H89" i="13161"/>
  <c r="H90" i="13161"/>
  <c r="H91" i="13161"/>
  <c r="H92" i="13161"/>
  <c r="H93" i="13161"/>
  <c r="H94" i="13161"/>
  <c r="H95" i="13161"/>
  <c r="H96" i="13161"/>
  <c r="H97" i="13161"/>
  <c r="H98" i="13161"/>
  <c r="H99" i="13161"/>
  <c r="H100" i="13161"/>
  <c r="H101" i="13161"/>
  <c r="H102" i="13161"/>
  <c r="H66" i="13161"/>
  <c r="H68" i="13160"/>
  <c r="H69" i="13160"/>
  <c r="H70" i="13160"/>
  <c r="H71" i="13160"/>
  <c r="H72" i="13160"/>
  <c r="H73" i="13160"/>
  <c r="H74" i="13160"/>
  <c r="H75" i="13160"/>
  <c r="H76" i="13160"/>
  <c r="H77" i="13160"/>
  <c r="H78" i="13160"/>
  <c r="H79" i="13160"/>
  <c r="H80" i="13160"/>
  <c r="H81" i="13160"/>
  <c r="H82" i="13160"/>
  <c r="H83" i="13160"/>
  <c r="H84" i="13160"/>
  <c r="H85" i="13160"/>
  <c r="H86" i="13160"/>
  <c r="H87" i="13160"/>
  <c r="H88" i="13160"/>
  <c r="H89" i="13160"/>
  <c r="H90" i="13160"/>
  <c r="H91" i="13160"/>
  <c r="H92" i="13160"/>
  <c r="H93" i="13160"/>
  <c r="H94" i="13160"/>
  <c r="H95" i="13160"/>
  <c r="H96" i="13160"/>
  <c r="H97" i="13160"/>
  <c r="H98" i="13160"/>
  <c r="H99" i="13160"/>
  <c r="H100" i="13160"/>
  <c r="H101" i="13160"/>
  <c r="H102" i="13160"/>
  <c r="H103" i="13160"/>
  <c r="H104" i="13160"/>
  <c r="H105" i="13160"/>
  <c r="H106" i="13160"/>
  <c r="H107" i="13160"/>
  <c r="H108" i="13160"/>
  <c r="H109" i="13160"/>
  <c r="H110" i="13160"/>
  <c r="H111" i="13160"/>
  <c r="H112" i="13160"/>
  <c r="H113" i="13160"/>
  <c r="H114" i="13160"/>
  <c r="H67" i="13160"/>
  <c r="H68" i="13156"/>
  <c r="H69" i="13156"/>
  <c r="H70" i="13156"/>
  <c r="H72" i="13156"/>
  <c r="H73" i="13156"/>
  <c r="H74" i="13156"/>
  <c r="H75" i="13156"/>
  <c r="H76" i="13156"/>
  <c r="H77" i="13156"/>
  <c r="H78" i="13156"/>
  <c r="H79" i="13156"/>
  <c r="H80" i="13156"/>
  <c r="H81" i="13156"/>
  <c r="H82" i="13156"/>
  <c r="H83" i="13156"/>
  <c r="H84" i="13156"/>
  <c r="H85" i="13156"/>
  <c r="H86" i="13156"/>
  <c r="H87" i="13156"/>
  <c r="H88" i="13156"/>
  <c r="H89" i="13156"/>
  <c r="H90" i="13156"/>
  <c r="H91" i="13156"/>
  <c r="H92" i="13156"/>
  <c r="H93" i="13156"/>
  <c r="H94" i="13156"/>
  <c r="H95" i="13156"/>
  <c r="H96" i="13156"/>
  <c r="H97" i="13156"/>
  <c r="H98" i="13156"/>
  <c r="H99" i="13156"/>
  <c r="H100" i="13156"/>
  <c r="H101" i="13156"/>
  <c r="H102" i="13156"/>
  <c r="H103" i="13156"/>
  <c r="H104" i="13156"/>
  <c r="H105" i="13156"/>
  <c r="H106" i="13156"/>
  <c r="H107" i="13156"/>
  <c r="H108" i="13156"/>
  <c r="H109" i="13156"/>
  <c r="H110" i="13156"/>
  <c r="H111" i="13156"/>
  <c r="H112" i="13156"/>
  <c r="H113" i="13156"/>
  <c r="H114" i="13156"/>
  <c r="H67" i="13156"/>
  <c r="I52" i="13159"/>
  <c r="I54" i="13159"/>
  <c r="I55" i="13159"/>
  <c r="I56" i="13159"/>
  <c r="I57" i="13159"/>
  <c r="I59" i="13159"/>
  <c r="I60" i="13159"/>
  <c r="I61" i="13159"/>
  <c r="I62" i="13159"/>
  <c r="I63" i="13159"/>
  <c r="I64" i="13159"/>
  <c r="I65" i="13159"/>
  <c r="I66" i="13159"/>
  <c r="I67" i="13159"/>
  <c r="I68" i="13159"/>
  <c r="I69" i="13159"/>
  <c r="I70" i="13159"/>
  <c r="I71" i="13159"/>
  <c r="I72" i="13159"/>
  <c r="I73" i="13159"/>
  <c r="I74" i="13159"/>
  <c r="I75" i="13159"/>
  <c r="I76" i="13159"/>
  <c r="I77" i="13159"/>
  <c r="I78" i="13159"/>
  <c r="I79" i="13159"/>
  <c r="I80" i="13159"/>
  <c r="I81" i="13159"/>
  <c r="H52" i="13159"/>
  <c r="H53" i="13159"/>
  <c r="H54" i="13159"/>
  <c r="H55" i="13159"/>
  <c r="H56" i="13159"/>
  <c r="H57" i="13159"/>
  <c r="H58" i="13159"/>
  <c r="H59" i="13159"/>
  <c r="H60" i="13159"/>
  <c r="H61" i="13159"/>
  <c r="H62" i="13159"/>
  <c r="H63" i="13159"/>
  <c r="H64" i="13159"/>
  <c r="H65" i="13159"/>
  <c r="H66" i="13159"/>
  <c r="H67" i="13159"/>
  <c r="H68" i="13159"/>
  <c r="H69" i="13159"/>
  <c r="H70" i="13159"/>
  <c r="H71" i="13159"/>
  <c r="H72" i="13159"/>
  <c r="H73" i="13159"/>
  <c r="H74" i="13159"/>
  <c r="H75" i="13159"/>
  <c r="H76" i="13159"/>
  <c r="H77" i="13159"/>
  <c r="H78" i="13159"/>
  <c r="H79" i="13159"/>
  <c r="H80" i="13159"/>
  <c r="H81" i="13159"/>
  <c r="H51" i="13159"/>
  <c r="F67" i="13161"/>
  <c r="G67" i="13161"/>
  <c r="F68" i="13161"/>
  <c r="G68" i="13161"/>
  <c r="F69" i="13161"/>
  <c r="G69" i="13161"/>
  <c r="F70" i="13161"/>
  <c r="G70" i="13161"/>
  <c r="F71" i="13161"/>
  <c r="G71" i="13161"/>
  <c r="F72" i="13161"/>
  <c r="G72" i="13161"/>
  <c r="F73" i="13161"/>
  <c r="G73" i="13161"/>
  <c r="F74" i="13161"/>
  <c r="G74" i="13161"/>
  <c r="F75" i="13161"/>
  <c r="G75" i="13161"/>
  <c r="F76" i="13161"/>
  <c r="G76" i="13161"/>
  <c r="F77" i="13161"/>
  <c r="G77" i="13161"/>
  <c r="F78" i="13161"/>
  <c r="G78" i="13161"/>
  <c r="F79" i="13161"/>
  <c r="G79" i="13161"/>
  <c r="F80" i="13161"/>
  <c r="G80" i="13161"/>
  <c r="F81" i="13161"/>
  <c r="G81" i="13161"/>
  <c r="F82" i="13161"/>
  <c r="G82" i="13161"/>
  <c r="F83" i="13161"/>
  <c r="G83" i="13161"/>
  <c r="F84" i="13161"/>
  <c r="G84" i="13161"/>
  <c r="F85" i="13161"/>
  <c r="G85" i="13161"/>
  <c r="F86" i="13161"/>
  <c r="G86" i="13161"/>
  <c r="F87" i="13161"/>
  <c r="G87" i="13161"/>
  <c r="F88" i="13161"/>
  <c r="G88" i="13161"/>
  <c r="F89" i="13161"/>
  <c r="G89" i="13161"/>
  <c r="F90" i="13161"/>
  <c r="G90" i="13161"/>
  <c r="F91" i="13161"/>
  <c r="G91" i="13161"/>
  <c r="F92" i="13161"/>
  <c r="G92" i="13161"/>
  <c r="F93" i="13161"/>
  <c r="G93" i="13161"/>
  <c r="F94" i="13161"/>
  <c r="G94" i="13161"/>
  <c r="F95" i="13161"/>
  <c r="G95" i="13161"/>
  <c r="F96" i="13161"/>
  <c r="G96" i="13161"/>
  <c r="F97" i="13161"/>
  <c r="G97" i="13161"/>
  <c r="F98" i="13161"/>
  <c r="G98" i="13161"/>
  <c r="F99" i="13161"/>
  <c r="G99" i="13161"/>
  <c r="F100" i="13161"/>
  <c r="G100" i="13161"/>
  <c r="F101" i="13161"/>
  <c r="G101" i="13161"/>
  <c r="F102" i="13161"/>
  <c r="G102" i="13161"/>
  <c r="G66" i="13161"/>
  <c r="F66" i="13161"/>
  <c r="G114" i="13160"/>
  <c r="F114" i="13160"/>
  <c r="G113" i="13160"/>
  <c r="F113" i="13160"/>
  <c r="G112" i="13160"/>
  <c r="F112" i="13160"/>
  <c r="G111" i="13160"/>
  <c r="F111" i="13160"/>
  <c r="G110" i="13160"/>
  <c r="F110" i="13160"/>
  <c r="G109" i="13160"/>
  <c r="F109" i="13160"/>
  <c r="G108" i="13160"/>
  <c r="F108" i="13160"/>
  <c r="G107" i="13160"/>
  <c r="F107" i="13160"/>
  <c r="G106" i="13160"/>
  <c r="F106" i="13160"/>
  <c r="G105" i="13160"/>
  <c r="F105" i="13160"/>
  <c r="G104" i="13160"/>
  <c r="F104" i="13160"/>
  <c r="G103" i="13160"/>
  <c r="F103" i="13160"/>
  <c r="G102" i="13160"/>
  <c r="F102" i="13160"/>
  <c r="G101" i="13160"/>
  <c r="F101" i="13160"/>
  <c r="G100" i="13160"/>
  <c r="F100" i="13160"/>
  <c r="G99" i="13160"/>
  <c r="F99" i="13160"/>
  <c r="G98" i="13160"/>
  <c r="F98" i="13160"/>
  <c r="G97" i="13160"/>
  <c r="F97" i="13160"/>
  <c r="G96" i="13160"/>
  <c r="F96" i="13160"/>
  <c r="G95" i="13160"/>
  <c r="F95" i="13160"/>
  <c r="G94" i="13160"/>
  <c r="F94" i="13160"/>
  <c r="G93" i="13160"/>
  <c r="F93" i="13160"/>
  <c r="G92" i="13160"/>
  <c r="F92" i="13160"/>
  <c r="G91" i="13160"/>
  <c r="F91" i="13160"/>
  <c r="G90" i="13160"/>
  <c r="F90" i="13160"/>
  <c r="G89" i="13160"/>
  <c r="F89" i="13160"/>
  <c r="G88" i="13160"/>
  <c r="F88" i="13160"/>
  <c r="G87" i="13160"/>
  <c r="F87" i="13160"/>
  <c r="G86" i="13160"/>
  <c r="F86" i="13160"/>
  <c r="G85" i="13160"/>
  <c r="F85" i="13160"/>
  <c r="G84" i="13160"/>
  <c r="F84" i="13160"/>
  <c r="G83" i="13160"/>
  <c r="F83" i="13160"/>
  <c r="G82" i="13160"/>
  <c r="F82" i="13160"/>
  <c r="G81" i="13160"/>
  <c r="F81" i="13160"/>
  <c r="G80" i="13160"/>
  <c r="F80" i="13160"/>
  <c r="G79" i="13160"/>
  <c r="F79" i="13160"/>
  <c r="G78" i="13160"/>
  <c r="F78" i="13160"/>
  <c r="G77" i="13160"/>
  <c r="F77" i="13160"/>
  <c r="G76" i="13160"/>
  <c r="F76" i="13160"/>
  <c r="G75" i="13160"/>
  <c r="F75" i="13160"/>
  <c r="G74" i="13160"/>
  <c r="F74" i="13160"/>
  <c r="G73" i="13160"/>
  <c r="F73" i="13160"/>
  <c r="G72" i="13160"/>
  <c r="F72" i="13160"/>
  <c r="G71" i="13160"/>
  <c r="F71" i="13160"/>
  <c r="G70" i="13160"/>
  <c r="F70" i="13160"/>
  <c r="G69" i="13160"/>
  <c r="F69" i="13160"/>
  <c r="G68" i="13160"/>
  <c r="F68" i="13160"/>
  <c r="G67" i="13160"/>
  <c r="F67" i="13160"/>
  <c r="G68" i="13156"/>
  <c r="G69" i="13156"/>
  <c r="G70" i="13156"/>
  <c r="G71" i="13156"/>
  <c r="G72" i="13156"/>
  <c r="G73" i="13156"/>
  <c r="G74" i="13156"/>
  <c r="G75" i="13156"/>
  <c r="G76" i="13156"/>
  <c r="G77" i="13156"/>
  <c r="G78" i="13156"/>
  <c r="G79" i="13156"/>
  <c r="G80" i="13156"/>
  <c r="G81" i="13156"/>
  <c r="G82" i="13156"/>
  <c r="G83" i="13156"/>
  <c r="G84" i="13156"/>
  <c r="G85" i="13156"/>
  <c r="G86" i="13156"/>
  <c r="G87" i="13156"/>
  <c r="G88" i="13156"/>
  <c r="G89" i="13156"/>
  <c r="G90" i="13156"/>
  <c r="G91" i="13156"/>
  <c r="G92" i="13156"/>
  <c r="G93" i="13156"/>
  <c r="G94" i="13156"/>
  <c r="G95" i="13156"/>
  <c r="G96" i="13156"/>
  <c r="G97" i="13156"/>
  <c r="G98" i="13156"/>
  <c r="G99" i="13156"/>
  <c r="G100" i="13156"/>
  <c r="G101" i="13156"/>
  <c r="G102" i="13156"/>
  <c r="G103" i="13156"/>
  <c r="G104" i="13156"/>
  <c r="G105" i="13156"/>
  <c r="G106" i="13156"/>
  <c r="G107" i="13156"/>
  <c r="G108" i="13156"/>
  <c r="G109" i="13156"/>
  <c r="G110" i="13156"/>
  <c r="G111" i="13156"/>
  <c r="G112" i="13156"/>
  <c r="G113" i="13156"/>
  <c r="G114" i="13156"/>
  <c r="G67" i="13156"/>
  <c r="F68" i="13156"/>
  <c r="F69" i="13156"/>
  <c r="F70" i="13156"/>
  <c r="F72" i="13156"/>
  <c r="F73" i="13156"/>
  <c r="F74" i="13156"/>
  <c r="F75" i="13156"/>
  <c r="F76" i="13156"/>
  <c r="F77" i="13156"/>
  <c r="F78" i="13156"/>
  <c r="F79" i="13156"/>
  <c r="F80" i="13156"/>
  <c r="F81" i="13156"/>
  <c r="F82" i="13156"/>
  <c r="F83" i="13156"/>
  <c r="F84" i="13156"/>
  <c r="F85" i="13156"/>
  <c r="F86" i="13156"/>
  <c r="F87" i="13156"/>
  <c r="F88" i="13156"/>
  <c r="F89" i="13156"/>
  <c r="F90" i="13156"/>
  <c r="F91" i="13156"/>
  <c r="F92" i="13156"/>
  <c r="F93" i="13156"/>
  <c r="F94" i="13156"/>
  <c r="F95" i="13156"/>
  <c r="F96" i="13156"/>
  <c r="F97" i="13156"/>
  <c r="F98" i="13156"/>
  <c r="F99" i="13156"/>
  <c r="F100" i="13156"/>
  <c r="F101" i="13156"/>
  <c r="F102" i="13156"/>
  <c r="F103" i="13156"/>
  <c r="F104" i="13156"/>
  <c r="F105" i="13156"/>
  <c r="F106" i="13156"/>
  <c r="F107" i="13156"/>
  <c r="F108" i="13156"/>
  <c r="F109" i="13156"/>
  <c r="F110" i="13156"/>
  <c r="F111" i="13156"/>
  <c r="F112" i="13156"/>
  <c r="F113" i="13156"/>
  <c r="F114" i="13156"/>
  <c r="F67" i="13156"/>
  <c r="G52" i="13159"/>
  <c r="G53" i="13159"/>
  <c r="G54" i="13159"/>
  <c r="G55" i="13159"/>
  <c r="G56" i="13159"/>
  <c r="G57" i="13159"/>
  <c r="G59" i="13159"/>
  <c r="G60" i="13159"/>
  <c r="G61" i="13159"/>
  <c r="G62" i="13159"/>
  <c r="G63" i="13159"/>
  <c r="G64" i="13159"/>
  <c r="G65" i="13159"/>
  <c r="G66" i="13159"/>
  <c r="G67" i="13159"/>
  <c r="G68" i="13159"/>
  <c r="G69" i="13159"/>
  <c r="G70" i="13159"/>
  <c r="G71" i="13159"/>
  <c r="G72" i="13159"/>
  <c r="G73" i="13159"/>
  <c r="G74" i="13159"/>
  <c r="G75" i="13159"/>
  <c r="G76" i="13159"/>
  <c r="G77" i="13159"/>
  <c r="G78" i="13159"/>
  <c r="G79" i="13159"/>
  <c r="G80" i="13159"/>
  <c r="G81" i="13159"/>
  <c r="G51" i="13159"/>
  <c r="F52" i="13159"/>
  <c r="F53" i="13159"/>
  <c r="F54" i="13159"/>
  <c r="F55" i="13159"/>
  <c r="F56" i="13159"/>
  <c r="F57" i="13159"/>
  <c r="F58" i="13159"/>
  <c r="F59" i="13159"/>
  <c r="F60" i="13159"/>
  <c r="F61" i="13159"/>
  <c r="F62" i="13159"/>
  <c r="F63" i="13159"/>
  <c r="F64" i="13159"/>
  <c r="F65" i="13159"/>
  <c r="F66" i="13159"/>
  <c r="F67" i="13159"/>
  <c r="F68" i="13159"/>
  <c r="F69" i="13159"/>
  <c r="F70" i="13159"/>
  <c r="F71" i="13159"/>
  <c r="F72" i="13159"/>
  <c r="F73" i="13159"/>
  <c r="F74" i="13159"/>
  <c r="F75" i="13159"/>
  <c r="F76" i="13159"/>
  <c r="F77" i="13159"/>
  <c r="F78" i="13159"/>
  <c r="F79" i="13159"/>
  <c r="F80" i="13159"/>
  <c r="F81" i="13159"/>
  <c r="F51" i="13159"/>
  <c r="E51" i="13159"/>
  <c r="D52" i="13159"/>
  <c r="D53" i="13159"/>
  <c r="D54" i="13159"/>
  <c r="D55" i="13159"/>
  <c r="D56" i="13159"/>
  <c r="D57" i="13159"/>
  <c r="D58" i="13159"/>
  <c r="D59" i="13159"/>
  <c r="D60" i="13159"/>
  <c r="D61" i="13159"/>
  <c r="D62" i="13159"/>
  <c r="D63" i="13159"/>
  <c r="D64" i="13159"/>
  <c r="D65" i="13159"/>
  <c r="D66" i="13159"/>
  <c r="D67" i="13159"/>
  <c r="D68" i="13159"/>
  <c r="D69" i="13159"/>
  <c r="D70" i="13159"/>
  <c r="D71" i="13159"/>
  <c r="D72" i="13159"/>
  <c r="D73" i="13159"/>
  <c r="D74" i="13159"/>
  <c r="D75" i="13159"/>
  <c r="D76" i="13159"/>
  <c r="D77" i="13159"/>
  <c r="D78" i="13159"/>
  <c r="D79" i="13159"/>
  <c r="D80" i="13159"/>
  <c r="D81" i="13159"/>
  <c r="D51" i="13159"/>
  <c r="E52" i="13159"/>
  <c r="E53" i="13159"/>
  <c r="E54" i="13159"/>
  <c r="E55" i="13159"/>
  <c r="E56" i="13159"/>
  <c r="E57" i="13159"/>
  <c r="E58" i="13159"/>
  <c r="E59" i="13159"/>
  <c r="E60" i="13159"/>
  <c r="E61" i="13159"/>
  <c r="E62" i="13159"/>
  <c r="E63" i="13159"/>
  <c r="E64" i="13159"/>
  <c r="E65" i="13159"/>
  <c r="E66" i="13159"/>
  <c r="E67" i="13159"/>
  <c r="E68" i="13159"/>
  <c r="E69" i="13159"/>
  <c r="E70" i="13159"/>
  <c r="E71" i="13159"/>
  <c r="E72" i="13159"/>
  <c r="E73" i="13159"/>
  <c r="E74" i="13159"/>
  <c r="E75" i="13159"/>
  <c r="E76" i="13159"/>
  <c r="E77" i="13159"/>
  <c r="E78" i="13159"/>
  <c r="E79" i="13159"/>
  <c r="E80" i="13159"/>
  <c r="E81" i="13159"/>
  <c r="E110" i="13160"/>
  <c r="E67" i="13161"/>
  <c r="E68" i="13161"/>
  <c r="E69" i="13161"/>
  <c r="E70" i="13161"/>
  <c r="E71" i="13161"/>
  <c r="E72" i="13161"/>
  <c r="E73" i="13161"/>
  <c r="E74" i="13161"/>
  <c r="E75" i="13161"/>
  <c r="E76" i="13161"/>
  <c r="E77" i="13161"/>
  <c r="E78" i="13161"/>
  <c r="E79" i="13161"/>
  <c r="E80" i="13161"/>
  <c r="E81" i="13161"/>
  <c r="E82" i="13161"/>
  <c r="E83" i="13161"/>
  <c r="E84" i="13161"/>
  <c r="E85" i="13161"/>
  <c r="E86" i="13161"/>
  <c r="E87" i="13161"/>
  <c r="E88" i="13161"/>
  <c r="E89" i="13161"/>
  <c r="E90" i="13161"/>
  <c r="E91" i="13161"/>
  <c r="E92" i="13161"/>
  <c r="E93" i="13161"/>
  <c r="E94" i="13161"/>
  <c r="E95" i="13161"/>
  <c r="E96" i="13161"/>
  <c r="E97" i="13161"/>
  <c r="E98" i="13161"/>
  <c r="E99" i="13161"/>
  <c r="E100" i="13161"/>
  <c r="E101" i="13161"/>
  <c r="E102" i="13161"/>
  <c r="E66" i="13161"/>
  <c r="D67" i="13161"/>
  <c r="D68" i="13161"/>
  <c r="D69" i="13161"/>
  <c r="D70" i="13161"/>
  <c r="D71" i="13161"/>
  <c r="D72" i="13161"/>
  <c r="D73" i="13161"/>
  <c r="D74" i="13161"/>
  <c r="D75" i="13161"/>
  <c r="D76" i="13161"/>
  <c r="D77" i="13161"/>
  <c r="D78" i="13161"/>
  <c r="D79" i="13161"/>
  <c r="D80" i="13161"/>
  <c r="D81" i="13161"/>
  <c r="D82" i="13161"/>
  <c r="D83" i="13161"/>
  <c r="D84" i="13161"/>
  <c r="D85" i="13161"/>
  <c r="D86" i="13161"/>
  <c r="D87" i="13161"/>
  <c r="D88" i="13161"/>
  <c r="D89" i="13161"/>
  <c r="D90" i="13161"/>
  <c r="D91" i="13161"/>
  <c r="D92" i="13161"/>
  <c r="D93" i="13161"/>
  <c r="D94" i="13161"/>
  <c r="D95" i="13161"/>
  <c r="D96" i="13161"/>
  <c r="D97" i="13161"/>
  <c r="D98" i="13161"/>
  <c r="D99" i="13161"/>
  <c r="D100" i="13161"/>
  <c r="D101" i="13161"/>
  <c r="D102" i="13161"/>
  <c r="D66" i="13161"/>
  <c r="D68" i="13160"/>
  <c r="D69" i="13160"/>
  <c r="D70" i="13160"/>
  <c r="D71" i="13160"/>
  <c r="D72" i="13160"/>
  <c r="D73" i="13160"/>
  <c r="D74" i="13160"/>
  <c r="D75" i="13160"/>
  <c r="D76" i="13160"/>
  <c r="D77" i="13160"/>
  <c r="D78" i="13160"/>
  <c r="D79" i="13160"/>
  <c r="D80" i="13160"/>
  <c r="D81" i="13160"/>
  <c r="D82" i="13160"/>
  <c r="D83" i="13160"/>
  <c r="D84" i="13160"/>
  <c r="D85" i="13160"/>
  <c r="D86" i="13160"/>
  <c r="D87" i="13160"/>
  <c r="D88" i="13160"/>
  <c r="D89" i="13160"/>
  <c r="D90" i="13160"/>
  <c r="D91" i="13160"/>
  <c r="D92" i="13160"/>
  <c r="D93" i="13160"/>
  <c r="D94" i="13160"/>
  <c r="D95" i="13160"/>
  <c r="D96" i="13160"/>
  <c r="D97" i="13160"/>
  <c r="D98" i="13160"/>
  <c r="D99" i="13160"/>
  <c r="D100" i="13160"/>
  <c r="D101" i="13160"/>
  <c r="D102" i="13160"/>
  <c r="D103" i="13160"/>
  <c r="D104" i="13160"/>
  <c r="D105" i="13160"/>
  <c r="D106" i="13160"/>
  <c r="D107" i="13160"/>
  <c r="D108" i="13160"/>
  <c r="D109" i="13160"/>
  <c r="D110" i="13160"/>
  <c r="D111" i="13160"/>
  <c r="D112" i="13160"/>
  <c r="D113" i="13160"/>
  <c r="D114" i="13160"/>
  <c r="D67" i="13160"/>
  <c r="D68" i="13156"/>
  <c r="D69" i="13156"/>
  <c r="D70" i="13156"/>
  <c r="D71" i="13156"/>
  <c r="D72" i="13156"/>
  <c r="D73" i="13156"/>
  <c r="D74" i="13156"/>
  <c r="D75" i="13156"/>
  <c r="D76" i="13156"/>
  <c r="D77" i="13156"/>
  <c r="D78" i="13156"/>
  <c r="D79" i="13156"/>
  <c r="D80" i="13156"/>
  <c r="D81" i="13156"/>
  <c r="D82" i="13156"/>
  <c r="D83" i="13156"/>
  <c r="D84" i="13156"/>
  <c r="D85" i="13156"/>
  <c r="D86" i="13156"/>
  <c r="D87" i="13156"/>
  <c r="D88" i="13156"/>
  <c r="D89" i="13156"/>
  <c r="D90" i="13156"/>
  <c r="D96" i="13156"/>
  <c r="D97" i="13156"/>
  <c r="D98" i="13156"/>
  <c r="D99" i="13156"/>
  <c r="D100" i="13156"/>
  <c r="D101" i="13156"/>
  <c r="D102" i="13156"/>
  <c r="D103" i="13156"/>
  <c r="D104" i="13156"/>
  <c r="D105" i="13156"/>
  <c r="D106" i="13156"/>
  <c r="D107" i="13156"/>
  <c r="D108" i="13156"/>
  <c r="D109" i="13156"/>
  <c r="D110" i="13156"/>
  <c r="D111" i="13156"/>
  <c r="D112" i="13156"/>
  <c r="D113" i="13156"/>
  <c r="D114" i="13156"/>
  <c r="D67" i="13156"/>
  <c r="E114" i="13160"/>
  <c r="E68" i="13160"/>
  <c r="E69" i="13160"/>
  <c r="E70" i="13160"/>
  <c r="E71" i="13160"/>
  <c r="E72" i="13160"/>
  <c r="E73" i="13160"/>
  <c r="E74" i="13160"/>
  <c r="E75" i="13160"/>
  <c r="E76" i="13160"/>
  <c r="E77" i="13160"/>
  <c r="E78" i="13160"/>
  <c r="E79" i="13160"/>
  <c r="E80" i="13160"/>
  <c r="E81" i="13160"/>
  <c r="E82" i="13160"/>
  <c r="E83" i="13160"/>
  <c r="E84" i="13160"/>
  <c r="E85" i="13160"/>
  <c r="E86" i="13160"/>
  <c r="E87" i="13160"/>
  <c r="E88" i="13160"/>
  <c r="E89" i="13160"/>
  <c r="E90" i="13160"/>
  <c r="E91" i="13160"/>
  <c r="E92" i="13160"/>
  <c r="E93" i="13160"/>
  <c r="E94" i="13160"/>
  <c r="E95" i="13160"/>
  <c r="E96" i="13160"/>
  <c r="E97" i="13160"/>
  <c r="E98" i="13160"/>
  <c r="E99" i="13160"/>
  <c r="E100" i="13160"/>
  <c r="E101" i="13160"/>
  <c r="E102" i="13160"/>
  <c r="E103" i="13160"/>
  <c r="E104" i="13160"/>
  <c r="E105" i="13160"/>
  <c r="E106" i="13160"/>
  <c r="E107" i="13160"/>
  <c r="E108" i="13160"/>
  <c r="E109" i="13160"/>
  <c r="E111" i="13160"/>
  <c r="E112" i="13160"/>
  <c r="E113" i="13160"/>
  <c r="E67" i="13160"/>
  <c r="E69" i="13156"/>
  <c r="E70" i="13156"/>
  <c r="E71" i="13156"/>
  <c r="E72" i="13156"/>
  <c r="E73" i="13156"/>
  <c r="E74" i="13156"/>
  <c r="E75" i="13156"/>
  <c r="E76" i="13156"/>
  <c r="E77" i="13156"/>
  <c r="E78" i="13156"/>
  <c r="E79" i="13156"/>
  <c r="E80" i="13156"/>
  <c r="E81" i="13156"/>
  <c r="E82" i="13156"/>
  <c r="E83" i="13156"/>
  <c r="E84" i="13156"/>
  <c r="E85" i="13156"/>
  <c r="E86" i="13156"/>
  <c r="E87" i="13156"/>
  <c r="E88" i="13156"/>
  <c r="E89" i="13156"/>
  <c r="E90" i="13156"/>
  <c r="E96" i="13156"/>
  <c r="E97" i="13156"/>
  <c r="E98" i="13156"/>
  <c r="E99" i="13156"/>
  <c r="E100" i="13156"/>
  <c r="E101" i="13156"/>
  <c r="E102" i="13156"/>
  <c r="E103" i="13156"/>
  <c r="E104" i="13156"/>
  <c r="E105" i="13156"/>
  <c r="E106" i="13156"/>
  <c r="E107" i="13156"/>
  <c r="E108" i="13156"/>
  <c r="E109" i="13156"/>
  <c r="E110" i="13156"/>
  <c r="E111" i="13156"/>
  <c r="E112" i="13156"/>
  <c r="E113" i="13156"/>
  <c r="E114" i="13156"/>
  <c r="O25" i="13206"/>
  <c r="N25" i="13206"/>
  <c r="E35" i="13205"/>
  <c r="F35" i="13205"/>
  <c r="D35" i="13205"/>
  <c r="H35" i="13205"/>
  <c r="E34" i="13205"/>
  <c r="F34" i="13205"/>
  <c r="D34" i="13205"/>
  <c r="H34" i="13205"/>
  <c r="E33" i="13205"/>
  <c r="F33" i="13205"/>
  <c r="D33" i="13205"/>
  <c r="H33" i="13205"/>
  <c r="E32" i="13205"/>
  <c r="F32" i="13205"/>
  <c r="D32" i="13205"/>
  <c r="H32" i="13205"/>
  <c r="E31" i="13205"/>
  <c r="F31" i="13205"/>
  <c r="D31" i="13205"/>
  <c r="H31" i="13205"/>
  <c r="E30" i="13205"/>
  <c r="F30" i="13205"/>
  <c r="D30" i="13205"/>
  <c r="H30" i="13205"/>
  <c r="E29" i="13205"/>
  <c r="F29" i="13205"/>
  <c r="D29" i="13205"/>
  <c r="H29" i="13205"/>
  <c r="E28" i="13205"/>
  <c r="F28" i="13205"/>
  <c r="D28" i="13205"/>
  <c r="H28" i="13205"/>
  <c r="E27" i="13205"/>
  <c r="F27" i="13205"/>
  <c r="D27" i="13205"/>
  <c r="H27" i="13205"/>
  <c r="E26" i="13205"/>
  <c r="F26" i="13205"/>
  <c r="D26" i="13205"/>
  <c r="H26" i="13205"/>
  <c r="E25" i="13205"/>
  <c r="F25" i="13205"/>
  <c r="D25" i="13205"/>
  <c r="H25" i="13205"/>
  <c r="F37" i="13204"/>
  <c r="D37" i="13204"/>
  <c r="F36" i="13204"/>
  <c r="D36" i="13204"/>
  <c r="H36" i="13204"/>
  <c r="F35" i="13204"/>
  <c r="D35" i="13204"/>
  <c r="H35" i="13204"/>
  <c r="F34" i="13204"/>
  <c r="D34" i="13204"/>
  <c r="H34" i="13204"/>
  <c r="F33" i="13204"/>
  <c r="D33" i="13204"/>
  <c r="H33" i="13204"/>
  <c r="F32" i="13204"/>
  <c r="D32" i="13204"/>
  <c r="H32" i="13204"/>
  <c r="F31" i="13204"/>
  <c r="D31" i="13204"/>
  <c r="H31" i="13204"/>
  <c r="F30" i="13204"/>
  <c r="D30" i="13204"/>
  <c r="H30" i="13204"/>
  <c r="F29" i="13204"/>
  <c r="D29" i="13204"/>
  <c r="H29" i="13204"/>
  <c r="F28" i="13204"/>
  <c r="H28" i="13204"/>
  <c r="G35" i="13205"/>
  <c r="G34" i="13205"/>
  <c r="G33" i="13205"/>
  <c r="G32" i="13205"/>
  <c r="G31" i="13205"/>
  <c r="G30" i="13205"/>
  <c r="G29" i="13205"/>
  <c r="G28" i="13205"/>
  <c r="G27" i="13205"/>
  <c r="G26" i="13205"/>
  <c r="G25" i="13205"/>
  <c r="E46" i="13189"/>
  <c r="E47" i="13189"/>
  <c r="E48" i="13189"/>
  <c r="E49" i="13189"/>
  <c r="E50" i="13189"/>
  <c r="E51" i="13189"/>
  <c r="H39" i="13206"/>
  <c r="AH12" i="13206"/>
  <c r="D30" i="13188"/>
  <c r="AJ12" i="13206"/>
  <c r="AL12" i="13206"/>
  <c r="AJ13" i="13206"/>
  <c r="AH13" i="13206"/>
  <c r="AL13" i="13206"/>
  <c r="AH14" i="13206"/>
  <c r="AJ15" i="13206"/>
  <c r="AH15" i="13206"/>
  <c r="AL15" i="13206"/>
  <c r="AH16" i="13206"/>
  <c r="AJ17" i="13206"/>
  <c r="AH17" i="13206"/>
  <c r="AL17" i="13206"/>
  <c r="AH18" i="13206"/>
  <c r="AJ19" i="13206"/>
  <c r="AH19" i="13206"/>
  <c r="AL19" i="13206"/>
  <c r="AH20" i="13206"/>
  <c r="AJ21" i="13206"/>
  <c r="AH21" i="13206"/>
  <c r="AL21" i="13206"/>
  <c r="AH22" i="13206"/>
  <c r="I35" i="13206"/>
  <c r="N35" i="13206"/>
  <c r="O35" i="13206"/>
  <c r="G36" i="13206"/>
  <c r="F36" i="13206"/>
  <c r="D40" i="13206"/>
  <c r="E26" i="13185"/>
  <c r="E27" i="13185"/>
  <c r="E28" i="13185"/>
  <c r="E29" i="13185"/>
  <c r="E30" i="13185"/>
  <c r="D26" i="13185"/>
  <c r="D27" i="13185"/>
  <c r="D28" i="13185"/>
  <c r="D29" i="13185"/>
  <c r="D30" i="13185"/>
  <c r="C27" i="13185"/>
  <c r="I26" i="13206"/>
  <c r="I27" i="13206"/>
  <c r="I28" i="13206"/>
  <c r="I29" i="13206"/>
  <c r="I30" i="13206"/>
  <c r="I31" i="13206"/>
  <c r="I32" i="13206"/>
  <c r="I33" i="13206"/>
  <c r="I34" i="13206"/>
  <c r="D37" i="13206"/>
  <c r="L26" i="13206"/>
  <c r="L27" i="13206"/>
  <c r="L28" i="13206"/>
  <c r="L29" i="13206"/>
  <c r="L30" i="13206"/>
  <c r="L31" i="13206"/>
  <c r="L32" i="13206"/>
  <c r="L33" i="13206"/>
  <c r="L34" i="13206"/>
  <c r="L35" i="13206"/>
  <c r="U26" i="13206"/>
  <c r="U27" i="13206"/>
  <c r="U28" i="13206"/>
  <c r="U29" i="13206"/>
  <c r="U30" i="13206"/>
  <c r="U31" i="13206"/>
  <c r="U32" i="13206"/>
  <c r="U33" i="13206"/>
  <c r="U34" i="13206"/>
  <c r="U35" i="13206"/>
  <c r="Q35" i="13206"/>
  <c r="T35" i="13206"/>
  <c r="Q26" i="13206"/>
  <c r="T26" i="13206"/>
  <c r="Q27" i="13206"/>
  <c r="T27" i="13206"/>
  <c r="Q28" i="13206"/>
  <c r="T28" i="13206"/>
  <c r="Q29" i="13206"/>
  <c r="T29" i="13206"/>
  <c r="Q30" i="13206"/>
  <c r="T30" i="13206"/>
  <c r="Q31" i="13206"/>
  <c r="T31" i="13206"/>
  <c r="Q32" i="13206"/>
  <c r="T32" i="13206"/>
  <c r="Q33" i="13206"/>
  <c r="T33" i="13206"/>
  <c r="Q34" i="13206"/>
  <c r="T34" i="13206"/>
  <c r="O26" i="13206"/>
  <c r="P26" i="13206"/>
  <c r="O27" i="13206"/>
  <c r="P27" i="13206"/>
  <c r="O28" i="13206"/>
  <c r="P28" i="13206"/>
  <c r="O29" i="13206"/>
  <c r="P29" i="13206"/>
  <c r="O30" i="13206"/>
  <c r="P30" i="13206"/>
  <c r="O31" i="13206"/>
  <c r="P31" i="13206"/>
  <c r="O32" i="13206"/>
  <c r="P32" i="13206"/>
  <c r="O33" i="13206"/>
  <c r="P33" i="13206"/>
  <c r="O34" i="13206"/>
  <c r="P34" i="13206"/>
  <c r="P35" i="13206"/>
  <c r="N26" i="13206"/>
  <c r="N27" i="13206"/>
  <c r="N28" i="13206"/>
  <c r="N29" i="13206"/>
  <c r="N30" i="13206"/>
  <c r="N31" i="13206"/>
  <c r="N32" i="13206"/>
  <c r="N33" i="13206"/>
  <c r="N34" i="13206"/>
  <c r="S26" i="13206"/>
  <c r="S27" i="13206"/>
  <c r="S28" i="13206"/>
  <c r="S29" i="13206"/>
  <c r="S30" i="13206"/>
  <c r="S31" i="13206"/>
  <c r="S32" i="13206"/>
  <c r="S33" i="13206"/>
  <c r="S34" i="13206"/>
  <c r="S35" i="13206"/>
  <c r="T28" i="13204"/>
  <c r="T29" i="13204"/>
  <c r="T30" i="13204"/>
  <c r="T31" i="13204"/>
  <c r="T32" i="13204"/>
  <c r="T33" i="13204"/>
  <c r="T34" i="13204"/>
  <c r="T35" i="13204"/>
  <c r="T36" i="13204"/>
  <c r="T37" i="13204"/>
  <c r="T38" i="13204"/>
  <c r="S29" i="13204"/>
  <c r="S30" i="13204"/>
  <c r="S31" i="13204"/>
  <c r="S32" i="13204"/>
  <c r="S33" i="13204"/>
  <c r="S34" i="13204"/>
  <c r="S35" i="13204"/>
  <c r="S36" i="13204"/>
  <c r="S37" i="13204"/>
  <c r="S38" i="13204"/>
  <c r="S28" i="13204"/>
  <c r="R29" i="13204"/>
  <c r="R30" i="13204"/>
  <c r="R31" i="13204"/>
  <c r="R32" i="13204"/>
  <c r="R33" i="13204"/>
  <c r="R34" i="13204"/>
  <c r="R35" i="13204"/>
  <c r="R36" i="13204"/>
  <c r="R37" i="13204"/>
  <c r="R38" i="13204"/>
  <c r="R28" i="13204"/>
  <c r="Q29" i="13204"/>
  <c r="Q30" i="13204"/>
  <c r="Q31" i="13204"/>
  <c r="Q32" i="13204"/>
  <c r="Q33" i="13204"/>
  <c r="Q34" i="13204"/>
  <c r="Q35" i="13204"/>
  <c r="Q36" i="13204"/>
  <c r="Q37" i="13204"/>
  <c r="Q38" i="13204"/>
  <c r="Q28" i="13204"/>
  <c r="P29" i="13204"/>
  <c r="P38" i="13204"/>
  <c r="P30" i="13204"/>
  <c r="P31" i="13204"/>
  <c r="P32" i="13204"/>
  <c r="P33" i="13204"/>
  <c r="P34" i="13204"/>
  <c r="P35" i="13204"/>
  <c r="P36" i="13204"/>
  <c r="P37" i="13204"/>
  <c r="P28" i="13204"/>
  <c r="E25" i="13207"/>
  <c r="F25" i="13207"/>
  <c r="D18" i="13183"/>
  <c r="D19" i="13183"/>
  <c r="M35" i="13206"/>
  <c r="M26" i="13206"/>
  <c r="M27" i="13206"/>
  <c r="M28" i="13206"/>
  <c r="M29" i="13206"/>
  <c r="M30" i="13206"/>
  <c r="M31" i="13206"/>
  <c r="M32" i="13206"/>
  <c r="M33" i="13206"/>
  <c r="M34" i="13206"/>
  <c r="G38" i="13204"/>
  <c r="G29" i="13204"/>
  <c r="G30" i="13204"/>
  <c r="G31" i="13204"/>
  <c r="G32" i="13204"/>
  <c r="G33" i="13204"/>
  <c r="G34" i="13204"/>
  <c r="G35" i="13204"/>
  <c r="G36" i="13204"/>
  <c r="G37" i="13204"/>
  <c r="L28" i="13204"/>
  <c r="G26" i="13185"/>
  <c r="G27" i="13185"/>
  <c r="G28" i="13185"/>
  <c r="G29" i="13185"/>
  <c r="G30" i="13185"/>
  <c r="AJ22" i="13206"/>
  <c r="AL22" i="13206"/>
  <c r="AJ20" i="13206"/>
  <c r="AL20" i="13206"/>
  <c r="AJ18" i="13206"/>
  <c r="AL18" i="13206"/>
  <c r="AJ16" i="13206"/>
  <c r="AL16" i="13206"/>
  <c r="AJ14" i="13206"/>
  <c r="AL14" i="13206"/>
  <c r="AL23" i="13206"/>
  <c r="F44" i="13207"/>
  <c r="G33" i="13207"/>
  <c r="G40" i="13207"/>
  <c r="H37" i="13204"/>
  <c r="M25" i="13206"/>
  <c r="L25" i="13206"/>
  <c r="S25" i="13206"/>
  <c r="H36" i="13206"/>
  <c r="I25" i="13206"/>
  <c r="G43" i="13207"/>
  <c r="G41" i="13207"/>
  <c r="G39" i="13207"/>
  <c r="G37" i="13207"/>
  <c r="G35" i="13207"/>
  <c r="G34" i="13207"/>
  <c r="H40" i="13207"/>
  <c r="J40" i="13207"/>
  <c r="H34" i="13207"/>
  <c r="J34" i="13207"/>
  <c r="H37" i="13207"/>
  <c r="J37" i="13207"/>
  <c r="J41" i="13207"/>
  <c r="H41" i="13207"/>
  <c r="J33" i="13207"/>
  <c r="H33" i="13207"/>
  <c r="G38" i="13207"/>
  <c r="G42" i="13207"/>
  <c r="AJ23" i="13206"/>
  <c r="J35" i="13207"/>
  <c r="H35" i="13207"/>
  <c r="J39" i="13207"/>
  <c r="H39" i="13207"/>
  <c r="J43" i="13207"/>
  <c r="H43" i="13207"/>
  <c r="H37" i="13206"/>
  <c r="G36" i="13207"/>
  <c r="H42" i="13207"/>
  <c r="J42" i="13207"/>
  <c r="H36" i="13207"/>
  <c r="J36" i="13207"/>
  <c r="I40" i="13206"/>
  <c r="H40" i="13206"/>
  <c r="E52" i="13189"/>
  <c r="E53" i="13189"/>
  <c r="H38" i="13207"/>
  <c r="J38" i="13207"/>
  <c r="G70" i="13203"/>
  <c r="K70" i="13203"/>
  <c r="F71" i="13203"/>
  <c r="K63" i="13203"/>
  <c r="K62" i="13206"/>
  <c r="K62" i="13204"/>
  <c r="G71" i="13204"/>
  <c r="K71" i="13204"/>
  <c r="F72" i="13204"/>
  <c r="G72" i="13204"/>
  <c r="K72" i="13204"/>
  <c r="G70" i="13204"/>
  <c r="K70" i="13204"/>
  <c r="F71" i="13206"/>
  <c r="F72" i="13206"/>
  <c r="G72" i="13206"/>
  <c r="K72" i="13206"/>
  <c r="G71" i="13206"/>
  <c r="G73" i="13204"/>
  <c r="L62" i="13204"/>
  <c r="G71" i="13203"/>
  <c r="F72" i="13203"/>
  <c r="G72" i="13203"/>
  <c r="K72" i="13203"/>
  <c r="K71" i="13203"/>
  <c r="G73" i="13203"/>
  <c r="L62" i="13203"/>
  <c r="K71" i="13206"/>
  <c r="G73" i="13206"/>
  <c r="L62" i="13206"/>
</calcChain>
</file>

<file path=xl/sharedStrings.xml><?xml version="1.0" encoding="utf-8"?>
<sst xmlns="http://schemas.openxmlformats.org/spreadsheetml/2006/main" count="1281" uniqueCount="588">
  <si>
    <t>Rendim. Isentos</t>
  </si>
  <si>
    <t>Contrib. Previdenciária</t>
  </si>
  <si>
    <t>Dependentes</t>
  </si>
  <si>
    <t>Instrução</t>
  </si>
  <si>
    <t>Médicas</t>
  </si>
  <si>
    <t>Livro Caixa</t>
  </si>
  <si>
    <t>Desc. Padrão</t>
  </si>
  <si>
    <t>DEDUÇÕES</t>
  </si>
  <si>
    <t>Simplificado</t>
  </si>
  <si>
    <t>Completo</t>
  </si>
  <si>
    <t>Tabela 1 - Resumo das Declarações Por Tipo de Formulário:</t>
  </si>
  <si>
    <t>Tabela 2 - Resumo das Declarações Por Situação Fiscal</t>
  </si>
  <si>
    <t>Faixa Etária</t>
  </si>
  <si>
    <t>Faixa de BC Anual</t>
  </si>
  <si>
    <t>UF Declarante</t>
  </si>
  <si>
    <t>Natureza da Ocupação</t>
  </si>
  <si>
    <t xml:space="preserve">   Deduções Legais</t>
  </si>
  <si>
    <t xml:space="preserve">   Dedução de Incentivo</t>
  </si>
  <si>
    <t xml:space="preserve">   IR Devido I</t>
  </si>
  <si>
    <t xml:space="preserve">   Ded. Empr. Domést.</t>
  </si>
  <si>
    <t xml:space="preserve">   IR Devido II</t>
  </si>
  <si>
    <t xml:space="preserve">   IR Devido RRA</t>
  </si>
  <si>
    <t xml:space="preserve">   Total IR Devido</t>
  </si>
  <si>
    <t>Tabela 4 - Resumo das Declarações Por Faixa Etária do Declarante</t>
  </si>
  <si>
    <t>Continua na página seguinte</t>
  </si>
  <si>
    <t>Total:</t>
  </si>
  <si>
    <t>Masculino</t>
  </si>
  <si>
    <t>Feminino</t>
  </si>
  <si>
    <t>R$ bilhões</t>
  </si>
  <si>
    <t xml:space="preserve">   Rendimentos Tributáveis</t>
  </si>
  <si>
    <t xml:space="preserve">   Base de Cáculo</t>
  </si>
  <si>
    <t xml:space="preserve">   IR Devido</t>
  </si>
  <si>
    <t xml:space="preserve">   IR Pago</t>
  </si>
  <si>
    <t xml:space="preserve">       IR a Pagar</t>
  </si>
  <si>
    <t xml:space="preserve">       IR a Restituir</t>
  </si>
  <si>
    <t xml:space="preserve">   Tributáveis</t>
  </si>
  <si>
    <t xml:space="preserve">   Isentos e não-Tributáveis</t>
  </si>
  <si>
    <t xml:space="preserve">   Sujeitos à Trib. Exclusiva/Definitiva</t>
  </si>
  <si>
    <t xml:space="preserve">   Totais</t>
  </si>
  <si>
    <t>Valores em R$ bilhões</t>
  </si>
  <si>
    <t>Imposto Devido</t>
  </si>
  <si>
    <t>Tipo de Pagamento / Doação</t>
  </si>
  <si>
    <t>Valor</t>
  </si>
  <si>
    <t>% do Total</t>
  </si>
  <si>
    <t>Bens e Direitos</t>
  </si>
  <si>
    <t>Tipo do Bem/Direito</t>
  </si>
  <si>
    <t>Dívidas e Ônus</t>
  </si>
  <si>
    <t>Tipo de Dívida</t>
  </si>
  <si>
    <t>Outros bens e direitos</t>
  </si>
  <si>
    <t>Capital das apólices de seguro ou pecúlio pago por morte...</t>
  </si>
  <si>
    <t>Indenizações por rescisão de contrato de trabalho e FGTS</t>
  </si>
  <si>
    <t>Lucro na alienação de bens e direitos de pequeno valor...</t>
  </si>
  <si>
    <t>Lucros e dividendos recebidos pelo titular e pelos depends.</t>
  </si>
  <si>
    <t>Parc. isenta prov. aposentadoria, declarantes 65 anos/mais</t>
  </si>
  <si>
    <t>Pensão, prov. aposentadoria/reforma por moléstia grave...</t>
  </si>
  <si>
    <t>Rend. caderneta de poupança e letras hipotecárias</t>
  </si>
  <si>
    <t>Rend. sócio/titular microempresa ou empresa peq. porte...</t>
  </si>
  <si>
    <t>Parc. isenta correspondente à atividade rural</t>
  </si>
  <si>
    <t>13º salário</t>
  </si>
  <si>
    <t>Ganho Cap. na alienação de bens ou direitos</t>
  </si>
  <si>
    <t>Ganho Cap. alien. bens/dir. e aplic. adquir. moeda estrang.</t>
  </si>
  <si>
    <t>Rend. de Aplicações Financeiras</t>
  </si>
  <si>
    <t>Ocupação Principal do Declarante</t>
  </si>
  <si>
    <t>Tipo de Formulário</t>
  </si>
  <si>
    <t xml:space="preserve">    Total</t>
  </si>
  <si>
    <t>Situação Fiscal</t>
  </si>
  <si>
    <t>Base de Cálculo (RTL)</t>
  </si>
  <si>
    <t>Pensão Aliment.</t>
  </si>
  <si>
    <t>Qtde Declarantes</t>
  </si>
  <si>
    <t>Rendimentos recebidos acumuladamente</t>
  </si>
  <si>
    <t>Outros rendimentos recebidos pelo Titular</t>
  </si>
  <si>
    <t>Outros rendimentos recebidos pelos dependentes</t>
  </si>
  <si>
    <t>IR anos calendário ant. compensado jud. neste ano calendário</t>
  </si>
  <si>
    <t>Incorporação de Reservas ao Capital/Bonificações em Ações</t>
  </si>
  <si>
    <t>Transferências patrimoniais - doações e heranças</t>
  </si>
  <si>
    <t>Transf. patrimoniais - meação e dissolução da sociedade conjugal e da unid. familiar</t>
  </si>
  <si>
    <t>Recuperação de prejuízos em Renda Variável</t>
  </si>
  <si>
    <t>Rend. bruto, até o máx. de 60%, da prestação serv. decorrente do transp. carga</t>
  </si>
  <si>
    <t>Restituição do IR de anos-calendário anteriores</t>
  </si>
  <si>
    <t>Outros (especifique)</t>
  </si>
  <si>
    <t>Demais Pagamentos e Doações</t>
  </si>
  <si>
    <t>Tabela 5 - Resumo das Declarações Por Faixa Base de Cálculo Anual</t>
  </si>
  <si>
    <t>NI / Inválido</t>
  </si>
  <si>
    <t>Maior que R$ 49.051,80</t>
  </si>
  <si>
    <t>Até R$ 19.645,32</t>
  </si>
  <si>
    <t>Exterior</t>
  </si>
  <si>
    <t>Roraima</t>
  </si>
  <si>
    <t>Acre</t>
  </si>
  <si>
    <t>Amapá</t>
  </si>
  <si>
    <t>Tocantins</t>
  </si>
  <si>
    <t>Rondônia</t>
  </si>
  <si>
    <t>Piauí</t>
  </si>
  <si>
    <t>Alagoas</t>
  </si>
  <si>
    <t>Sergipe</t>
  </si>
  <si>
    <t>Paraíba</t>
  </si>
  <si>
    <t>Rio Grande do Norte</t>
  </si>
  <si>
    <t>Maranhão</t>
  </si>
  <si>
    <t>Amazonas</t>
  </si>
  <si>
    <t>Mato Grosso do Sul</t>
  </si>
  <si>
    <t>Mato Grosso</t>
  </si>
  <si>
    <t>Espírito Santo</t>
  </si>
  <si>
    <t>Pará</t>
  </si>
  <si>
    <t>Ceará</t>
  </si>
  <si>
    <t>Goiás</t>
  </si>
  <si>
    <t>Pernambuco</t>
  </si>
  <si>
    <t>Santa Catarina</t>
  </si>
  <si>
    <t>Bahia</t>
  </si>
  <si>
    <t>Distrito Federal</t>
  </si>
  <si>
    <t>Paraná</t>
  </si>
  <si>
    <t>Rio Grande do Sul</t>
  </si>
  <si>
    <t>Minas Gerais</t>
  </si>
  <si>
    <t>Rio de Janeiro</t>
  </si>
  <si>
    <t>São Paulo</t>
  </si>
  <si>
    <t>Não informado</t>
  </si>
  <si>
    <t>Inválido</t>
  </si>
  <si>
    <t>Microempreendedor Individual - MEI</t>
  </si>
  <si>
    <t>Natureza da ocupação não especificada anteriormente</t>
  </si>
  <si>
    <t>Espólio</t>
  </si>
  <si>
    <t>Adaptação: Bolsista ou beneficiário pensão aliment. judicial</t>
  </si>
  <si>
    <t>Bolsista</t>
  </si>
  <si>
    <t>Beneficiário de pensão alimentícia</t>
  </si>
  <si>
    <t>Adaptação: Apos., mil. refor. ou pens., incl. com mol. grave</t>
  </si>
  <si>
    <t>Aposentado, militar refor. ou pens. prev. com moléstia grave</t>
  </si>
  <si>
    <t>Aposentado, militar res. ou refor., pens. prev., exc. cd. 62</t>
  </si>
  <si>
    <t>Militar</t>
  </si>
  <si>
    <t>Adaptação: Empreg. emp. púb. ou mista qquer esf. inc. finan.</t>
  </si>
  <si>
    <t>Adaptação: Servidor púb. autarquia ou fund. qualquer esfera</t>
  </si>
  <si>
    <t>Adaptação: Membro ou servidor púb. adm. direta qquer esfera</t>
  </si>
  <si>
    <t>Empregado de empr. púb. ou soc. de economia mista municipal</t>
  </si>
  <si>
    <t>Servidor público de autarquia ou fundação municipal</t>
  </si>
  <si>
    <t>Membro ou servidor público da administração direta municipal</t>
  </si>
  <si>
    <t>Empregado empr. púb. ou ec. mista est. e DF, exc. inst. fin.</t>
  </si>
  <si>
    <t>Servidor público de autarquia ou fundação estadual e do DF</t>
  </si>
  <si>
    <t>Membro ou servidor público da admin. direta estadual e do DF</t>
  </si>
  <si>
    <t>Empregado empr. púb. ou econ. mista fed., exc. inst. financ.</t>
  </si>
  <si>
    <t>Servidor público de autarquia ou fundação federal</t>
  </si>
  <si>
    <t>Membro ou servidor público da administração direta federal</t>
  </si>
  <si>
    <t>Capitalista que auferiu rendim. de capital, inclus. aluguéis</t>
  </si>
  <si>
    <t>Proprietário de empr. ou firma indiv. ou empregador-titular</t>
  </si>
  <si>
    <t>Profissional liberal ou autônomo sem vínculo de emprego</t>
  </si>
  <si>
    <t>Empregado ou contratado de organismo internacional ou de ONG</t>
  </si>
  <si>
    <t>Empregado de instituições financeiras públicas e privadas</t>
  </si>
  <si>
    <t>Adaptação: Empregado empresa priv., inclusive inst. financ.</t>
  </si>
  <si>
    <t>Empregado de empresa setor privado, exceto instit. financ.</t>
  </si>
  <si>
    <t>Técnico de conservação, dissecação e empalhamento de corpos</t>
  </si>
  <si>
    <t>Apresentador, artistas de artes populares e modelos</t>
  </si>
  <si>
    <t>Técnico da ciência da saúde animal</t>
  </si>
  <si>
    <t>Montador de aparelhos e instrumentos de precisão e musicais</t>
  </si>
  <si>
    <t>Filósofo</t>
  </si>
  <si>
    <t>Pescador, caçador e extrativista florestal</t>
  </si>
  <si>
    <t>Técnico em biologia</t>
  </si>
  <si>
    <t>Decorador e vitrinista</t>
  </si>
  <si>
    <t>Antropólogo e arqueólogo</t>
  </si>
  <si>
    <t>Técnico de bioquímica e da biotecnologia</t>
  </si>
  <si>
    <t>Cenógrafo, decorador de interiores</t>
  </si>
  <si>
    <t>Cantor e compositor</t>
  </si>
  <si>
    <t>Técnico de serviços culturais</t>
  </si>
  <si>
    <t>Técnico em operação aparelho sonoriz., cenografia e projeção</t>
  </si>
  <si>
    <t>Locutor, comentarista</t>
  </si>
  <si>
    <t>Empresário e produtor de espetáculos</t>
  </si>
  <si>
    <t>Historiador</t>
  </si>
  <si>
    <t>Tradutor, intérprete, filólogo</t>
  </si>
  <si>
    <t>Geógrafo</t>
  </si>
  <si>
    <t>Escritor, crítico, redator</t>
  </si>
  <si>
    <t>Técnico em mineralogia e geologia</t>
  </si>
  <si>
    <t>Dirigente ou adm. part. político, organização patronal etc</t>
  </si>
  <si>
    <t>Cinegrafista, fotógrafos e técnicos em máq. tratam. de dados</t>
  </si>
  <si>
    <t>Diplomata e afins</t>
  </si>
  <si>
    <t>Ator, diretor de espetáculos</t>
  </si>
  <si>
    <t>Técnico em operação de estações de rádio e televisão</t>
  </si>
  <si>
    <t>Trabalhador dos serviços domésticos em geral</t>
  </si>
  <si>
    <t>Operador de máquina agropecuária e florestal</t>
  </si>
  <si>
    <t>Sociólogo e cientista político</t>
  </si>
  <si>
    <t>Agente de Bolsa de Valores, câmbio e outros serviços financ.</t>
  </si>
  <si>
    <t>Músico, arranjador, regente de orquestra ou coral</t>
  </si>
  <si>
    <t>Presidente, diretor, gerente, superv. organ. internac. e ONG</t>
  </si>
  <si>
    <t>Joalheiro, vidreiro, ceramista e afins</t>
  </si>
  <si>
    <t>Presidente e diretor empresa pública e soc. economia mista</t>
  </si>
  <si>
    <t>Membro do Poder Executivo</t>
  </si>
  <si>
    <t>Profissional da educação física (exceto professor)</t>
  </si>
  <si>
    <t>Atleta, desportista e afins</t>
  </si>
  <si>
    <t>Outros profissionais do espetáculo e das artes</t>
  </si>
  <si>
    <t>Técnico da produção agropecuária</t>
  </si>
  <si>
    <t>Trabalhador das indústrias de madeira e do mobiliário</t>
  </si>
  <si>
    <t>Desenhista técnico e modelista</t>
  </si>
  <si>
    <t>Técnico de inspeção, fiscalização e coordenação administrat.</t>
  </si>
  <si>
    <t>Trabalhador de outras instalações agroindustriais</t>
  </si>
  <si>
    <t>Técnico em transportes (logística)</t>
  </si>
  <si>
    <t>Bibliotecário, documentalista, arquivólogo, museólogo</t>
  </si>
  <si>
    <t>Comissário de bordo, guia de turismo, ag. de viagens e afins</t>
  </si>
  <si>
    <t>Desenhista industrial, escultor, pintor artístico e afins</t>
  </si>
  <si>
    <t>Matemático, estatístico, atuário e afins</t>
  </si>
  <si>
    <t>Servidor das carreiras do Banco Central, CVM e Susep</t>
  </si>
  <si>
    <t>Técnico em ciências físicas e químicas</t>
  </si>
  <si>
    <t>Trabalhador de instal. e máq. de fabric. de celulose e papel</t>
  </si>
  <si>
    <t>Trabalhador na exploração agropecuária</t>
  </si>
  <si>
    <t>Trabalhador dos serviços de hotelaria e alimentação</t>
  </si>
  <si>
    <t>Técnico em navegação aérea, marítima, fluvial e metrofer.</t>
  </si>
  <si>
    <t>Servidor das carreiras de ciência e tecnologia</t>
  </si>
  <si>
    <t>Técnico em constr. civil, edificações e obras de infra-est.</t>
  </si>
  <si>
    <t>Trabalhador dos serv. de embelezamento e cuidados pessoais</t>
  </si>
  <si>
    <t>Técnico de labor., Raios-X e outros equipamentos diagnóstico</t>
  </si>
  <si>
    <t>Sacerdote ou membro de ordens ou seitas religiosas</t>
  </si>
  <si>
    <t>Instrutor e professor de escolas livres</t>
  </si>
  <si>
    <t>Trabalhador da fabricação e instalação eletro-eletrônica</t>
  </si>
  <si>
    <t>Trabalhador dos serviços de admin., conserv. e manut. edif.</t>
  </si>
  <si>
    <t>Membro do Poder Legislativo</t>
  </si>
  <si>
    <t>Condutor e operador de robôs, veículos e equip. movim. carga</t>
  </si>
  <si>
    <t>Servidor das carreiras de gestão governamental, analista etc</t>
  </si>
  <si>
    <t>Operador de instalações de prod. e distribuição de energia</t>
  </si>
  <si>
    <t>Piloto de aeronaves, comandante de embarc., oficiais de máq.</t>
  </si>
  <si>
    <t>Professor do ensino profissional</t>
  </si>
  <si>
    <t>Servidor das carreiras do Ministério Público</t>
  </si>
  <si>
    <t>Veterinário, patologista (veterinário) e zootecnista</t>
  </si>
  <si>
    <t>Técnico em metalmecânica</t>
  </si>
  <si>
    <t>Agente e representante comercial, corretor, leiloeiro, afins</t>
  </si>
  <si>
    <t>Biólogo, biomédico e afins</t>
  </si>
  <si>
    <t>Técnico em informática</t>
  </si>
  <si>
    <t>Trabalhador de instal. siderúr. e de materiais de construção</t>
  </si>
  <si>
    <t>Assistente social e economista doméstico</t>
  </si>
  <si>
    <t>Trabalhador das indústrias têxteis, do curtimento, vest. etc</t>
  </si>
  <si>
    <t>Jornalista e repórter</t>
  </si>
  <si>
    <t>Técnico da ciência da saúde humana</t>
  </si>
  <si>
    <t>Militar da Aeronáutica</t>
  </si>
  <si>
    <t>Agrônomo e afins</t>
  </si>
  <si>
    <t>Bombeiro Militar</t>
  </si>
  <si>
    <t>Trabalhador da fabric. de alim., beb., fumo e agroindústrias</t>
  </si>
  <si>
    <t>Militar da Marinha</t>
  </si>
  <si>
    <t>Dirigente superior da adm. pública, inclusive fundações etc</t>
  </si>
  <si>
    <t>Físico, químico, meteorolog., geólogo, oceanógrafo e afins</t>
  </si>
  <si>
    <t>Trabalhador dos serviços de proteção e segur. (exc. militar)</t>
  </si>
  <si>
    <t>Profissional de marketing, publicidade e da comercialização</t>
  </si>
  <si>
    <t>Membro do Ministério Público (Procurador e Promotor)</t>
  </si>
  <si>
    <t>Fonoaudiólogo, fisioterapeuta, terapeuta ocupacional e afins</t>
  </si>
  <si>
    <t>Psicólogo e psicanalista</t>
  </si>
  <si>
    <t>Outros técnicos nível médio ciências fís., quím., engenharia</t>
  </si>
  <si>
    <t>Trabalhador de atendim. ao público, caixa, despachante etc</t>
  </si>
  <si>
    <t>Trabalhador da indústria extrativa e da construção civil</t>
  </si>
  <si>
    <t>Gerente ou superv. empresa pública e soc. de economia mista</t>
  </si>
  <si>
    <t>Advogado do setor público, Proc. Fazenda, Cons. Jurídico etc</t>
  </si>
  <si>
    <t>Servidor das carreiras do Poder Legislativo</t>
  </si>
  <si>
    <t>Técnico em eletro-eletrônica e fotônica</t>
  </si>
  <si>
    <t>Membro do Poder Judiciário e de Tribunal de Contas</t>
  </si>
  <si>
    <t>Pedagogo, orientador educacional</t>
  </si>
  <si>
    <t>Técnico das ciências administrativas e contábeis</t>
  </si>
  <si>
    <t>Trabalhador dos serviços de saúde</t>
  </si>
  <si>
    <t>Professor na educação infantil</t>
  </si>
  <si>
    <t>Militar do Exército</t>
  </si>
  <si>
    <t>Titular de Cartório</t>
  </si>
  <si>
    <t>Motorista e condutor do transporte de passageiros</t>
  </si>
  <si>
    <t>Trabalhador das indústrias química, petroquím., borracha etc</t>
  </si>
  <si>
    <t>Deleg. de Polícia e serv. carreiras de polícia, exc. militar</t>
  </si>
  <si>
    <t>Odontólogo</t>
  </si>
  <si>
    <t>Trabalhador de reparação e manutenção</t>
  </si>
  <si>
    <t>Produtor na exploração agropecuária</t>
  </si>
  <si>
    <t>Trabalhador da transformação de metais e compósitos</t>
  </si>
  <si>
    <t>Servidor das carreiras de auditoria fiscal e de fiscalização</t>
  </si>
  <si>
    <t>Enfermeiro nível sup., nutricionista, farmacêutico e afins</t>
  </si>
  <si>
    <t>Advogado</t>
  </si>
  <si>
    <t>Outros trabalhadores de serviços diversos</t>
  </si>
  <si>
    <t>Analista de sist., desenv.de soft., adm.de redes e banco etc</t>
  </si>
  <si>
    <t>Professor do ensino superior</t>
  </si>
  <si>
    <t>Policial Militar</t>
  </si>
  <si>
    <t>Outros técnicos de nível médio</t>
  </si>
  <si>
    <t>Servidor das carreiras do Poder Judiciário, Of. Justiça etc</t>
  </si>
  <si>
    <t>Professor do ensino médio</t>
  </si>
  <si>
    <t>Vendedor e prestador de serviços do comércio, ambulante etc</t>
  </si>
  <si>
    <t>Servidor das demais carreiras da admin. pública direta etc</t>
  </si>
  <si>
    <t>Economista, administrador, contador, auditor e afins</t>
  </si>
  <si>
    <t>Professor do ensino fundamental</t>
  </si>
  <si>
    <t>Engenheiro, arquiteto e afins</t>
  </si>
  <si>
    <t>Gerente ou superv. empresa indust., comerc. ou prest. serv.</t>
  </si>
  <si>
    <t>Médico</t>
  </si>
  <si>
    <t>Bancário, economiário, escriturário, agente, assistente etc</t>
  </si>
  <si>
    <t>Dirigente, pres., diretor emp. indust., com. ou prest. serv.</t>
  </si>
  <si>
    <t>Outras ocupações não especificadas anteriormente</t>
  </si>
  <si>
    <t>13º salário recebido pelos dependentes</t>
  </si>
  <si>
    <t>Ganhos líquidos em renda variável</t>
  </si>
  <si>
    <t>Bolsa de estudo e pesquisa</t>
  </si>
  <si>
    <t>Demais Rend. isentos e não-tributáveis dos dependentes</t>
  </si>
  <si>
    <t>Outras participações societárias</t>
  </si>
  <si>
    <t>Sala ou conjunto</t>
  </si>
  <si>
    <t>Prédio comercial</t>
  </si>
  <si>
    <t>Outros fundos</t>
  </si>
  <si>
    <t>Depósito bancário em conta corrente no país</t>
  </si>
  <si>
    <t>Construção</t>
  </si>
  <si>
    <t>Prédio residencial</t>
  </si>
  <si>
    <t>Fundo de Curto Prazo</t>
  </si>
  <si>
    <t>VGBL - Vida gerador de benefício livre</t>
  </si>
  <si>
    <t>Outras aplicações e investimentos</t>
  </si>
  <si>
    <t>Crédito decorrente de empréstimo</t>
  </si>
  <si>
    <t>Dinheiro em espécie - Moeda nacional</t>
  </si>
  <si>
    <t>Terra nua</t>
  </si>
  <si>
    <t>Caderneta de poupança</t>
  </si>
  <si>
    <t>Ações (inclusive as provenientes de linha telefônica)</t>
  </si>
  <si>
    <t>Terreno</t>
  </si>
  <si>
    <t>Aplicação de renda fixa (CDB, RDB e outros)</t>
  </si>
  <si>
    <t>Veículo automotor terrestre: caminhão,automóvel, moto, etc.</t>
  </si>
  <si>
    <t>Quotas ou quinhões de capital</t>
  </si>
  <si>
    <t>Casa</t>
  </si>
  <si>
    <t>Apartamento</t>
  </si>
  <si>
    <t>Fundos Ações, Mútuos Privat., Invest. Emp. Emerg., Invest. Participação e Invest. Ind. Mercado....</t>
  </si>
  <si>
    <t>Fundo de Longo Prazo e Fundo de Investimentos em Direitos Creditórios (FIDC)</t>
  </si>
  <si>
    <t>Empréstimos contraídos no exterior</t>
  </si>
  <si>
    <t>Outras dívidas e ônus reais</t>
  </si>
  <si>
    <t>Outras pessoas jurídicas</t>
  </si>
  <si>
    <t>Pessoas físicas</t>
  </si>
  <si>
    <t>Soc. de crédito, financiamento e investimento</t>
  </si>
  <si>
    <t>Estabelecimento bancário comercial</t>
  </si>
  <si>
    <t>Incentivo ao desporto</t>
  </si>
  <si>
    <t>Incentivo ao Pronon</t>
  </si>
  <si>
    <t>Doações - Estatuto do Idoso</t>
  </si>
  <si>
    <t>Pensão al. - sep./div. escritura púb. paga não-res. Brasil</t>
  </si>
  <si>
    <t>Dentistas no exterior</t>
  </si>
  <si>
    <t>Médicos no exterior</t>
  </si>
  <si>
    <t>Incentivo à cultura</t>
  </si>
  <si>
    <t>Pensão al. judicial paga não-res. Brasil</t>
  </si>
  <si>
    <t>Doações - Estatuto da criança e do adolescente</t>
  </si>
  <si>
    <t>Hospitais, clínicas e laboratórios no exterior</t>
  </si>
  <si>
    <t>Terapeutas ocupacionais no Brasil</t>
  </si>
  <si>
    <t>Fonoaudiólogos no Brasil</t>
  </si>
  <si>
    <t>Eng./Arq./demais prof. Lib., exceto advog., adm/cor. imóveis</t>
  </si>
  <si>
    <t>Instrução no exterior</t>
  </si>
  <si>
    <t>Arrendamento rural</t>
  </si>
  <si>
    <t>Advogados (demais honorários)</t>
  </si>
  <si>
    <t>Outras</t>
  </si>
  <si>
    <t>Corretor de imóveis</t>
  </si>
  <si>
    <t>Advogados (hon. rel. a ações judic., exceto trabalhistas)</t>
  </si>
  <si>
    <t>Psicólogos no Brasil</t>
  </si>
  <si>
    <t>Fisioterapeutas no Brasil</t>
  </si>
  <si>
    <t>Administrador de imóveis</t>
  </si>
  <si>
    <t>C. patronal paga à Prev. Social pelo empregador doméstico</t>
  </si>
  <si>
    <t>Pensão al. - sep./div. escritura púb. paga Brasil</t>
  </si>
  <si>
    <t>Advogados (hon. rel. a ações judiciais trabalhistas)</t>
  </si>
  <si>
    <t>Médicos no Brasil</t>
  </si>
  <si>
    <t>FAPI - F. de Aposentadoria Programada Individual</t>
  </si>
  <si>
    <t>Doações em bens e direitos</t>
  </si>
  <si>
    <t>Aluguéis de imóveis</t>
  </si>
  <si>
    <t>Dentistas no Brasil</t>
  </si>
  <si>
    <t>Hospitais, clínicas e laboratórios no Brasil</t>
  </si>
  <si>
    <t>Doações em espécie</t>
  </si>
  <si>
    <t>Previdência Complementar</t>
  </si>
  <si>
    <t>Pensão al. judicial paga residente Brasil</t>
  </si>
  <si>
    <t>Planos de saúde no Brasil</t>
  </si>
  <si>
    <t>Instrução no Brasil</t>
  </si>
  <si>
    <t>Outros</t>
  </si>
  <si>
    <t>Contrib. Prev. Oficial</t>
  </si>
  <si>
    <t>Contrib. Prev. Privada e FAPI</t>
  </si>
  <si>
    <t>Despesas com Instrução</t>
  </si>
  <si>
    <t>Despesas Médicas</t>
  </si>
  <si>
    <t>Pensão Alimentícia Escritura</t>
  </si>
  <si>
    <t>Pensão Alimentícia Judicial</t>
  </si>
  <si>
    <t>Pensão Alimentícia Judicial RRA</t>
  </si>
  <si>
    <t>Tot. Deduções/Desc. Simplif.</t>
  </si>
  <si>
    <t>Contrib. Prev. Oficial RRA</t>
  </si>
  <si>
    <t>Valor Receb. de PF Exterior</t>
  </si>
  <si>
    <t>Valor Resultado Tribut. Ativ. Rural</t>
  </si>
  <si>
    <t>Valor Receb. de PJ Depend.</t>
  </si>
  <si>
    <t>Valor Total de Rend. Tribut.</t>
  </si>
  <si>
    <t>% Acum.</t>
  </si>
  <si>
    <t>Imposto Pago</t>
  </si>
  <si>
    <t>Imposto a Pagar</t>
  </si>
  <si>
    <t>Imposto a Restituir</t>
  </si>
  <si>
    <t>Rendim. Tribut.</t>
  </si>
  <si>
    <t>Depen dentes</t>
  </si>
  <si>
    <t>Instru ção</t>
  </si>
  <si>
    <t>Até 18 anos</t>
  </si>
  <si>
    <t>19 a 30 anos</t>
  </si>
  <si>
    <t>31 a 40 anos</t>
  </si>
  <si>
    <t>41 a 50 anos</t>
  </si>
  <si>
    <t>51 a 60 anos</t>
  </si>
  <si>
    <t>61 a 70 anos</t>
  </si>
  <si>
    <t>71 a 80 anos</t>
  </si>
  <si>
    <t>Acima de 80 anos</t>
  </si>
  <si>
    <t>Rendim. Tribut. Exclus.</t>
  </si>
  <si>
    <t>Valor Receb. de PJ Titular</t>
  </si>
  <si>
    <t>Valor Rend. RRA Depend.</t>
  </si>
  <si>
    <t>Valor Rend. RRA Titular</t>
  </si>
  <si>
    <t>Gênero</t>
  </si>
  <si>
    <t>Tabela 3 - Resumo das Declarações Por Gênero</t>
  </si>
  <si>
    <t>Até 1/2 Salário Mín.</t>
  </si>
  <si>
    <t>1/2 a 1 Salário Mín.</t>
  </si>
  <si>
    <t>1 a 2 Salários Mín.</t>
  </si>
  <si>
    <t>2 a 3 Salários Mín.</t>
  </si>
  <si>
    <t>3 a 5 Salários Mín.</t>
  </si>
  <si>
    <t>5 a 10 Salários Mín.</t>
  </si>
  <si>
    <t>10 a 20 Salários Mín.</t>
  </si>
  <si>
    <t>20 a 40 Salários Mín.</t>
  </si>
  <si>
    <t>40 a 80 Salários Mín.</t>
  </si>
  <si>
    <t>80 a 160 Salários Mín.</t>
  </si>
  <si>
    <t>&gt; 160 Salários Mín.</t>
  </si>
  <si>
    <t>Valores em R$ milhões</t>
  </si>
  <si>
    <t>Faixa de Rend.Trib.Bruto</t>
  </si>
  <si>
    <t>Contrib. Previden.</t>
  </si>
  <si>
    <t>Pensão Alimen.</t>
  </si>
  <si>
    <t>Faixa Rend.Trib.+Trib.Exc.</t>
  </si>
  <si>
    <t>Valores R$ milhões</t>
  </si>
  <si>
    <t>Faixa de Rendimento Total</t>
  </si>
  <si>
    <t>Tabela 6 - Resumo das Declarações Por Faixa de Base de Cálculo</t>
  </si>
  <si>
    <t>Tabela 7 - Resumo das Declarações Por Faixa de Rendimento Tributável Bruto</t>
  </si>
  <si>
    <t>Tabela 8 - Resumo das Declarações Por Faixa de Rendimentos Tributáveis + Tributação Exclusiva</t>
  </si>
  <si>
    <t>Tabela 9 - Resumo das Declarações Por Faixa de Rendimentos Totais</t>
  </si>
  <si>
    <t>Tabela 10 - Declarações de Recebedores de Lucros e Dividendos + Rend.Sócio e Titular Microempresa por Faixa de Rendimento Total</t>
  </si>
  <si>
    <t>Total</t>
  </si>
  <si>
    <t>Tabela 12 - Resumo das Declarações Por UF de Residência do Declarante</t>
  </si>
  <si>
    <t>Tabela 13 - Resumo da Declaração por Natureza de Ocupação</t>
  </si>
  <si>
    <t>Tabela 14 - Resumo da Declaração por Ocupação Principal do Declarante</t>
  </si>
  <si>
    <t>Tabela 14 - Resumo da Declaração por Ocupação Principal do Declarante (Continuação)</t>
  </si>
  <si>
    <t>Tabela 15 - Rendimentos</t>
  </si>
  <si>
    <t>Tabela 16 - Deduções</t>
  </si>
  <si>
    <t>Tabela 17 - Cálculo do Imposto</t>
  </si>
  <si>
    <t>Tabela 18 - Rendimentos Tributáveis</t>
  </si>
  <si>
    <t>Tabela 19 -  Rendim. Sujeitos à Tributação Exclusiva/Definitiva</t>
  </si>
  <si>
    <t>Tabela 20 - Rendimentos Isentos e Não Tributáveis</t>
  </si>
  <si>
    <t>Tabela 21 - Bens e Direitos</t>
  </si>
  <si>
    <t>Tabela 22 - Dívidas e Ônus</t>
  </si>
  <si>
    <t>Tabela 23 - Pagamentos e Doações</t>
  </si>
  <si>
    <t xml:space="preserve">IR Devido &gt; 0 </t>
  </si>
  <si>
    <t>IR Devido &lt;= 0</t>
  </si>
  <si>
    <t>Tabela 11 - Declarações de Recebedores de Lucros e Dividendos + Rend.Sócio e Titular Microempresa por Ocupação Principal</t>
  </si>
  <si>
    <t>Outros (demais ocupações)</t>
  </si>
  <si>
    <t>Valor Total Rend. Tributação Exclusiva</t>
  </si>
  <si>
    <t>Total Rendimentos Isentos e Não Tributáveis:</t>
  </si>
  <si>
    <t>Total Bens e Direitos:</t>
  </si>
  <si>
    <t>De R$ 19.645,33 a 29.442,00</t>
  </si>
  <si>
    <t>De R$ 29.442,01 a R$ 39.256,56</t>
  </si>
  <si>
    <t>75% rend. trab. assal. receb. em ME por serv. de autarquias ou repartições do gov. brasileiro sit. no ext., convertidos em R$</t>
  </si>
  <si>
    <t>Benefícios ind. e reembolso desp. receb. voluntário Fifa, da Subsidiária Fifa Brasil ou Comitê Organizados Brasileiro (LOC)</t>
  </si>
  <si>
    <t>Bolsas de estudo e de pesquisa caracterizadas como doação, recebidas por médico-residente</t>
  </si>
  <si>
    <t>Ganhos líq. oper. c/ ouro, ativo financeiro, nas alienações realizadas até o vlr. estipulado p/ o AC, em cada mês</t>
  </si>
  <si>
    <t>Ganhos líq. oper. merc. à vista de ações negociadas em bolsas de valores nas alien. realizadas até vlr. estipulado p/ AC</t>
  </si>
  <si>
    <t>Rend. bruto, até o máx. de 40%, da prestação de serv. decorrente do transp. passageiros</t>
  </si>
  <si>
    <t>Participação nos lucros ou resultados</t>
  </si>
  <si>
    <t>Rend. bruto, até o máx. de 90%, da prestação serv. decorrente do transp. carga</t>
  </si>
  <si>
    <t>Funpresp</t>
  </si>
  <si>
    <t>Demais Bens e Direitos</t>
  </si>
  <si>
    <t>Juros sobre capital próprio</t>
  </si>
  <si>
    <t>Pág 1 de 52</t>
  </si>
  <si>
    <t>GRANDES NÚMEROS DIRPF 2014 - ANO-CALENDÁRIO 2013</t>
  </si>
  <si>
    <t>Pág 52 de 52</t>
  </si>
  <si>
    <t>Pág 51 de 52</t>
  </si>
  <si>
    <t>Pág 50 de 52</t>
  </si>
  <si>
    <t>Pág 49 de 52</t>
  </si>
  <si>
    <t>Pág 48 de 52</t>
  </si>
  <si>
    <t>Pág 47 de 52</t>
  </si>
  <si>
    <t>Pág 46 de 52</t>
  </si>
  <si>
    <t/>
  </si>
  <si>
    <t>Pág 45 de 52</t>
  </si>
  <si>
    <t xml:space="preserve">                          GRANDES NÚMEROS DIRPF 2014 - ANO-CALENDÁRIO 2013</t>
  </si>
  <si>
    <t>Pág 44 de 52</t>
  </si>
  <si>
    <t xml:space="preserve">                       GRANDES NÚMEROS DIRPF 2014 - ANO-CALENDÁRIO 2013</t>
  </si>
  <si>
    <t>Pág 43 de 52</t>
  </si>
  <si>
    <t>Pág 42 de 52</t>
  </si>
  <si>
    <t>Pág 41 de 52</t>
  </si>
  <si>
    <t>Pág 27 de 52</t>
  </si>
  <si>
    <t>Pág 19 de 52</t>
  </si>
  <si>
    <t>Pág 18 de 52</t>
  </si>
  <si>
    <t>Pág 16 de 52</t>
  </si>
  <si>
    <t>GRANDES NÚMEROS DIRPF 2014 - ANO CALENDÁRIO 2013</t>
  </si>
  <si>
    <t>Pág 14 de 52</t>
  </si>
  <si>
    <t>Pág 12 de 52</t>
  </si>
  <si>
    <t>Pág 10 de 52</t>
  </si>
  <si>
    <t>Pág 8 de 52</t>
  </si>
  <si>
    <t>Pág 6 de 52</t>
  </si>
  <si>
    <t>Pág 4 de 52</t>
  </si>
  <si>
    <t>Pág 3 de 52</t>
  </si>
  <si>
    <t>Pág 2 de 52</t>
  </si>
  <si>
    <r>
      <t xml:space="preserve">De R$ 39.256,57 a R$ </t>
    </r>
    <r>
      <rPr>
        <sz val="10"/>
        <rFont val="Arial"/>
        <family val="2"/>
        <charset val="1"/>
      </rPr>
      <t>39.256,56</t>
    </r>
  </si>
  <si>
    <t>Slarário min mensal</t>
  </si>
  <si>
    <t>Salário min annual</t>
  </si>
  <si>
    <t>Gross total income brackets</t>
  </si>
  <si>
    <t>Declarantes</t>
  </si>
  <si>
    <t>Gross total income</t>
  </si>
  <si>
    <t>Taxpayers</t>
  </si>
  <si>
    <t>Tax units</t>
  </si>
  <si>
    <t>Study and research grant</t>
  </si>
  <si>
    <t>Indemnities for employment contract termination and FGTS</t>
  </si>
  <si>
    <t>Gain on sale of assets and rights of small value ...</t>
  </si>
  <si>
    <t>Property transfers - gift and inheritance</t>
  </si>
  <si>
    <t>Benefits ind. and exp refund. Recv. Volunteer FIFA Subsidiary FIFA Brazil or Brazilian Organized Committee (LOC)</t>
  </si>
  <si>
    <t>Recovery of losses in equity</t>
  </si>
  <si>
    <t>R$ billion</t>
  </si>
  <si>
    <r>
      <rPr>
        <b/>
        <sz val="10"/>
        <rFont val="Arial"/>
        <family val="2"/>
        <charset val="1"/>
      </rPr>
      <t>Total examepted income and nontaxable income</t>
    </r>
    <r>
      <rPr>
        <b/>
        <sz val="10"/>
        <rFont val="Arial"/>
        <family val="2"/>
        <charset val="1"/>
      </rPr>
      <t>:</t>
    </r>
  </si>
  <si>
    <t>Exempted income and nontaxable incomes, 2013</t>
  </si>
  <si>
    <t>Other exempt and non-taxable of dependents</t>
  </si>
  <si>
    <t>Exempted part of income corresponding to rural activities</t>
  </si>
  <si>
    <t>Exempted part of retirement income of those 65 years / more</t>
  </si>
  <si>
    <t>Pension, retirement / retirement for serious illness ...</t>
  </si>
  <si>
    <t>Income from savings accounts and mortgage notes</t>
  </si>
  <si>
    <t>Income of partners from a micro enterprise or small-scalled business</t>
  </si>
  <si>
    <t>Other</t>
  </si>
  <si>
    <t>Income tax previous calendar years compensated in current calendar year</t>
  </si>
  <si>
    <t>Profits and dividends received by the holder and by dependents</t>
  </si>
  <si>
    <t>75% of income from salaried work</t>
  </si>
  <si>
    <t>Incorporation of reserves into the Capital / Bonuses in the form of shares</t>
  </si>
  <si>
    <t>Scholarships and research characterized as donation received by medical residents</t>
  </si>
  <si>
    <t>Liquid gains oper. c / gold, financial asset, the disposals carried out by the vlr. stipulated w / AC in each month</t>
  </si>
  <si>
    <t>Liquid gains oper. merc. the sight of shares traded on the stock exchanges alien. made up vlr. stipulated w / AC</t>
  </si>
  <si>
    <t>Gross income, up to the max. 40%, the provision of serv. due to the transp. passengers</t>
  </si>
  <si>
    <t>Gross income, up to the max. 60%, the provision serv. due to the transp. charge</t>
  </si>
  <si>
    <t>Refund of Income tax from previous calendar years</t>
  </si>
  <si>
    <t>Gross income, up to the max. 90%, the provision serv. due to the transp. charge</t>
  </si>
  <si>
    <t>Property transfer - sharecropping and dissolution of the conjugal society and pcs. home</t>
  </si>
  <si>
    <t>13th salary</t>
  </si>
  <si>
    <t>Other income received by the Holder</t>
  </si>
  <si>
    <t>Net gains on equities</t>
  </si>
  <si>
    <t>Participation in profits or results</t>
  </si>
  <si>
    <t>Others</t>
  </si>
  <si>
    <t>Income from financial Applications</t>
  </si>
  <si>
    <t>Incomes received cumulatively</t>
  </si>
  <si>
    <t>Other income received by dependents</t>
  </si>
  <si>
    <t>Capital gains on assets bought in a foreign currency</t>
  </si>
  <si>
    <t>13th salary received by dependents</t>
  </si>
  <si>
    <t>Interest on own capital</t>
  </si>
  <si>
    <t>Total value of excl. taxed income</t>
  </si>
  <si>
    <t>Incomes subject to exclusive/definitive taxation, 2013</t>
  </si>
  <si>
    <t>average</t>
  </si>
  <si>
    <t>Gross total income - livro caixa</t>
  </si>
  <si>
    <t>Prpoerty transfers/total assessed income</t>
  </si>
  <si>
    <t>Adjusted assessed income ('000)</t>
  </si>
  <si>
    <t xml:space="preserve">Property transfers </t>
  </si>
  <si>
    <t>Capital gains on the sale assets or royalties</t>
  </si>
  <si>
    <t>Adjusted assessed income - excl. capital gains ('000)</t>
  </si>
  <si>
    <t>Capital gains</t>
  </si>
  <si>
    <t>Capital from insurance policies or annuity paid for death ...</t>
  </si>
  <si>
    <t>capital gain?</t>
  </si>
  <si>
    <t>Average income</t>
  </si>
  <si>
    <t># assessed</t>
  </si>
  <si>
    <t xml:space="preserve"># assessed </t>
  </si>
  <si>
    <t>P80</t>
  </si>
  <si>
    <t>P85</t>
  </si>
  <si>
    <t>P90</t>
  </si>
  <si>
    <t>P95</t>
  </si>
  <si>
    <t>P99</t>
  </si>
  <si>
    <t>P99.5</t>
  </si>
  <si>
    <t>P99.9</t>
  </si>
  <si>
    <t>P.99.95</t>
  </si>
  <si>
    <t>P99.99</t>
  </si>
  <si>
    <t>Income thresholds</t>
  </si>
  <si>
    <t>Average total income</t>
  </si>
  <si>
    <t>Share of exempt income</t>
  </si>
  <si>
    <t>Share of withheld income</t>
  </si>
  <si>
    <t>Share of total exempt income</t>
  </si>
  <si>
    <t>Share of total withheld income</t>
  </si>
  <si>
    <t xml:space="preserve"> </t>
  </si>
  <si>
    <t>Allocation formula</t>
  </si>
  <si>
    <t>or</t>
  </si>
  <si>
    <t>Allocated to a group if they satisfy one of three conditions:</t>
  </si>
  <si>
    <t>2. The average income of the occupation lies within the threshold and their number of people is less than half the number of individuals of the threshold.</t>
  </si>
  <si>
    <t>1. The average income of the occupation lies within the threshold and the share of withheld and/or exempt income in their total income lie at least within the same threshold as the share of withheld and/or exempt income of all the declared.</t>
  </si>
  <si>
    <t>3. The share of withheld and/or exempt income in the total income of the occupation lie within the same threshold as the share of withheld and/or exempt income of all the declared. and the number of people in the occupation is more than twice the number of individuals of the threshold.</t>
  </si>
  <si>
    <t>Share of total withheld</t>
  </si>
  <si>
    <t>Income brackets</t>
  </si>
  <si>
    <t># tax filers</t>
  </si>
  <si>
    <t>Exempt income</t>
  </si>
  <si>
    <t xml:space="preserve">Exempt income - business expenses </t>
  </si>
  <si>
    <t>Total distributed business profits and dividends</t>
  </si>
  <si>
    <t>Distributed business profits and dividends after business expenses</t>
  </si>
  <si>
    <t>Emprical inverted pareto coefficients</t>
  </si>
  <si>
    <t>% freq</t>
  </si>
  <si>
    <t>cumul % freq</t>
  </si>
  <si>
    <t>Percentiles</t>
  </si>
  <si>
    <t>Valor limite do abatimento para dependentes</t>
  </si>
  <si>
    <t># dependents (spouses, children &amp; other family members)</t>
  </si>
  <si>
    <t># filers</t>
  </si>
  <si>
    <t>Number of spouses in dependents (joint filers)</t>
  </si>
  <si>
    <t>Share of spouses in dependents (from PNAD 2013 tabela 6.2)</t>
  </si>
  <si>
    <t>bracketavg</t>
  </si>
  <si>
    <t>share of singles</t>
  </si>
  <si>
    <t>Withheld income (post-tax)</t>
  </si>
  <si>
    <t>Pre-tax</t>
  </si>
  <si>
    <t>Labour income</t>
  </si>
  <si>
    <t>Labour income (adj)</t>
  </si>
  <si>
    <t xml:space="preserve">Capital income </t>
  </si>
  <si>
    <t>Total withheld income</t>
  </si>
  <si>
    <t>averinc</t>
  </si>
  <si>
    <t>p</t>
  </si>
  <si>
    <t>Taxable income</t>
  </si>
  <si>
    <t>Capital income</t>
  </si>
  <si>
    <t>Capital income (based on 2% share of property rent in fiscal taxable income from SNA)</t>
  </si>
  <si>
    <t>Conta própia (pro-labore share in income)</t>
  </si>
  <si>
    <t>Adult population</t>
  </si>
  <si>
    <t>Control total for income</t>
  </si>
  <si>
    <t>Control total for average inocme</t>
  </si>
  <si>
    <t>Brackets</t>
  </si>
  <si>
    <t>Declarations</t>
  </si>
  <si>
    <t>Total income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</si>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</sst>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_(* #,##0.00_);_(* \(#,##0.00\);_(* &quot;-&quot;??_);_(@_)"/>
    <numFmt numFmtId="165" formatCode="&quot;R$&quot;\ #,##0;[Red]\-&quot;R$&quot;\ #,##0"/>
    <numFmt numFmtId="166" formatCode="&quot;R$&quot;\ #,##0.00;[Red]\-&quot;R$&quot;\ #,##0.00"/>
    <numFmt numFmtId="167" formatCode="@*."/>
    <numFmt numFmtId="168" formatCode="#,##0.00_ ;[Red]\-#,##0.00\ "/>
    <numFmt numFmtId="169" formatCode="#,##0;\(#,##0\)"/>
    <numFmt numFmtId="170" formatCode="#,##0_ ;[Red]\-#,##0\ "/>
    <numFmt numFmtId="171" formatCode="0.000"/>
    <numFmt numFmtId="172" formatCode="0.00000"/>
    <numFmt numFmtId="173" formatCode="0.0"/>
    <numFmt numFmtId="174" formatCode="#,##0.0_ ;[Red]\-#,##0.0\ "/>
    <numFmt numFmtId="175" formatCode="#,##0.0"/>
    <numFmt numFmtId="176" formatCode="_-* #,##0_-;\-* #,##0_-;_-* &quot;-&quot;??_-;_-@_-"/>
    <numFmt numFmtId="177" formatCode="#,##0_ ;\-#,##0\ "/>
    <numFmt numFmtId="178" formatCode="_ * #,##0_ ;_ * \-#,##0_ ;_ * &quot;-&quot;??_ ;_ @_ "/>
    <numFmt numFmtId="179" formatCode="#,##0.0;[Red]#,##0.0"/>
    <numFmt numFmtId="180" formatCode="#,##0.0000"/>
    <numFmt numFmtId="181" formatCode="#,##0.0000000000"/>
    <numFmt numFmtId="182" formatCode="#,##0.000000;[Red]#,##0.000000"/>
  </numFmts>
  <fonts count="47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  <charset val="1"/>
    </font>
    <font>
      <b/>
      <sz val="12"/>
      <name val="Arial"/>
      <family val="2"/>
    </font>
    <font>
      <sz val="10"/>
      <color theme="0"/>
      <name val="Arial"/>
      <family val="2"/>
      <charset val="1"/>
    </font>
    <font>
      <sz val="8"/>
      <color indexed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  <charset val="1"/>
    </font>
    <font>
      <b/>
      <sz val="16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name val="Arial"/>
      <family val="2"/>
      <charset val="1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9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sz val="9"/>
      <color theme="1"/>
      <name val="Calibri"/>
      <family val="2"/>
      <scheme val="minor"/>
    </font>
    <font>
      <sz val="9"/>
      <color theme="0"/>
      <name val="Arial"/>
      <family val="2"/>
      <charset val="1"/>
    </font>
    <font>
      <b/>
      <sz val="9"/>
      <color theme="1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3276C8"/>
        <bgColor indexed="64"/>
      </patternFill>
    </fill>
    <fill>
      <patternFill patternType="solid">
        <fgColor rgb="FFFFFF00"/>
        <bgColor rgb="FF000000"/>
      </patternFill>
    </fill>
  </fills>
  <borders count="40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indexed="8"/>
      </top>
      <bottom/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/>
      <top style="hair">
        <color auto="1"/>
      </top>
      <bottom/>
      <diagonal/>
    </border>
    <border>
      <left/>
      <right/>
      <top style="medium">
        <color indexed="8"/>
      </top>
      <bottom style="medium">
        <color auto="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auto="1"/>
      </left>
      <right/>
      <top/>
      <bottom/>
      <diagonal/>
    </border>
    <border>
      <left/>
      <right/>
      <top style="hair">
        <color indexed="8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8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/>
      <bottom/>
      <diagonal/>
    </border>
  </borders>
  <cellStyleXfs count="258">
    <xf numFmtId="0" fontId="0" fillId="0" borderId="0"/>
    <xf numFmtId="9" fontId="15" fillId="0" borderId="0" applyFill="0" applyBorder="0" applyProtection="0"/>
    <xf numFmtId="0" fontId="12" fillId="0" borderId="0"/>
    <xf numFmtId="9" fontId="2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17" fillId="0" borderId="0"/>
    <xf numFmtId="43" fontId="17" fillId="0" borderId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5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49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9" fontId="0" fillId="0" borderId="0" xfId="1" applyFont="1" applyFill="1" applyBorder="1" applyAlignment="1" applyProtection="1">
      <alignment vertical="center"/>
    </xf>
    <xf numFmtId="0" fontId="0" fillId="0" borderId="3" xfId="0" applyBorder="1" applyAlignment="1">
      <alignment vertical="center"/>
    </xf>
    <xf numFmtId="9" fontId="0" fillId="0" borderId="0" xfId="1" applyFont="1" applyFill="1" applyBorder="1" applyAlignment="1" applyProtection="1">
      <alignment horizontal="right" vertical="center"/>
    </xf>
    <xf numFmtId="167" fontId="0" fillId="0" borderId="0" xfId="0" applyNumberFormat="1" applyAlignment="1">
      <alignment horizontal="center" vertical="center"/>
    </xf>
    <xf numFmtId="40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4" fontId="14" fillId="0" borderId="0" xfId="0" applyNumberFormat="1" applyFont="1" applyAlignment="1">
      <alignment vertical="center"/>
    </xf>
    <xf numFmtId="0" fontId="14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6" fillId="2" borderId="6" xfId="0" applyFont="1" applyFill="1" applyBorder="1" applyAlignment="1">
      <alignment horizontal="center" vertical="center"/>
    </xf>
    <xf numFmtId="3" fontId="16" fillId="2" borderId="6" xfId="0" applyNumberFormat="1" applyFont="1" applyFill="1" applyBorder="1" applyAlignment="1">
      <alignment vertical="center"/>
    </xf>
    <xf numFmtId="4" fontId="16" fillId="2" borderId="6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vertical="center"/>
    </xf>
    <xf numFmtId="4" fontId="16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16" fillId="0" borderId="6" xfId="0" applyFont="1" applyBorder="1" applyAlignment="1">
      <alignment horizontal="center" vertical="center"/>
    </xf>
    <xf numFmtId="3" fontId="16" fillId="0" borderId="6" xfId="0" applyNumberFormat="1" applyFont="1" applyBorder="1" applyAlignment="1">
      <alignment vertical="center"/>
    </xf>
    <xf numFmtId="4" fontId="16" fillId="0" borderId="6" xfId="0" applyNumberFormat="1" applyFont="1" applyBorder="1" applyAlignment="1">
      <alignment vertical="center"/>
    </xf>
    <xf numFmtId="0" fontId="17" fillId="0" borderId="7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9" fontId="0" fillId="0" borderId="6" xfId="1" applyFont="1" applyFill="1" applyBorder="1" applyAlignment="1" applyProtection="1">
      <alignment vertical="center"/>
    </xf>
    <xf numFmtId="2" fontId="0" fillId="0" borderId="10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4" fontId="13" fillId="0" borderId="0" xfId="0" applyNumberFormat="1" applyFont="1" applyAlignment="1">
      <alignment vertical="center"/>
    </xf>
    <xf numFmtId="4" fontId="13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9" fontId="0" fillId="0" borderId="6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3" fontId="19" fillId="0" borderId="0" xfId="0" applyNumberFormat="1" applyFont="1" applyAlignment="1">
      <alignment horizontal="centerContinuous" vertical="center"/>
    </xf>
    <xf numFmtId="0" fontId="0" fillId="0" borderId="19" xfId="0" applyBorder="1" applyAlignment="1">
      <alignment vertical="center"/>
    </xf>
    <xf numFmtId="4" fontId="0" fillId="0" borderId="0" xfId="0" applyNumberFormat="1" applyAlignment="1">
      <alignment horizontal="left" vertical="center"/>
    </xf>
    <xf numFmtId="0" fontId="18" fillId="0" borderId="0" xfId="0" applyFont="1" applyAlignment="1">
      <alignment horizontal="centerContinuous" vertical="center" wrapText="1"/>
    </xf>
    <xf numFmtId="0" fontId="0" fillId="0" borderId="0" xfId="0" applyAlignment="1">
      <alignment horizontal="centerContinuous" vertical="center"/>
    </xf>
    <xf numFmtId="4" fontId="14" fillId="0" borderId="6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4" fontId="13" fillId="3" borderId="21" xfId="0" applyNumberFormat="1" applyFont="1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13" fillId="3" borderId="21" xfId="0" applyFont="1" applyFill="1" applyBorder="1" applyAlignment="1">
      <alignment horizontal="center" vertical="center" wrapText="1"/>
    </xf>
    <xf numFmtId="168" fontId="0" fillId="0" borderId="7" xfId="0" applyNumberFormat="1" applyBorder="1" applyAlignment="1">
      <alignment horizontal="right" vertical="center"/>
    </xf>
    <xf numFmtId="170" fontId="0" fillId="0" borderId="7" xfId="0" applyNumberFormat="1" applyBorder="1" applyAlignment="1">
      <alignment horizontal="center" vertical="center"/>
    </xf>
    <xf numFmtId="168" fontId="0" fillId="0" borderId="11" xfId="0" applyNumberFormat="1" applyBorder="1" applyAlignment="1">
      <alignment vertical="center"/>
    </xf>
    <xf numFmtId="168" fontId="0" fillId="0" borderId="11" xfId="0" applyNumberFormat="1" applyBorder="1" applyAlignment="1">
      <alignment horizontal="right" vertical="center"/>
    </xf>
    <xf numFmtId="168" fontId="0" fillId="0" borderId="0" xfId="0" applyNumberFormat="1" applyAlignment="1">
      <alignment horizontal="right" vertical="center"/>
    </xf>
    <xf numFmtId="170" fontId="0" fillId="0" borderId="0" xfId="0" applyNumberFormat="1" applyAlignment="1">
      <alignment horizontal="right" vertical="center"/>
    </xf>
    <xf numFmtId="3" fontId="13" fillId="3" borderId="20" xfId="0" applyNumberFormat="1" applyFont="1" applyFill="1" applyBorder="1" applyAlignment="1">
      <alignment horizontal="right" vertical="center"/>
    </xf>
    <xf numFmtId="168" fontId="0" fillId="0" borderId="7" xfId="0" applyNumberFormat="1" applyBorder="1" applyAlignment="1">
      <alignment vertical="center"/>
    </xf>
    <xf numFmtId="9" fontId="15" fillId="0" borderId="10" xfId="1" applyFill="1" applyBorder="1" applyProtection="1"/>
    <xf numFmtId="4" fontId="0" fillId="0" borderId="0" xfId="0" applyNumberFormat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13" fillId="5" borderId="0" xfId="0" applyFont="1" applyFill="1" applyAlignment="1">
      <alignment horizontal="center" vertical="center"/>
    </xf>
    <xf numFmtId="0" fontId="0" fillId="5" borderId="8" xfId="0" applyFill="1" applyBorder="1" applyAlignment="1">
      <alignment vertical="center"/>
    </xf>
    <xf numFmtId="0" fontId="13" fillId="5" borderId="0" xfId="0" applyFont="1" applyFill="1" applyAlignment="1">
      <alignment vertical="center"/>
    </xf>
    <xf numFmtId="0" fontId="18" fillId="5" borderId="0" xfId="0" applyFont="1" applyFill="1" applyAlignment="1">
      <alignment horizontal="centerContinuous" vertical="center"/>
    </xf>
    <xf numFmtId="3" fontId="0" fillId="0" borderId="0" xfId="0" applyNumberFormat="1" applyAlignment="1">
      <alignment vertical="center"/>
    </xf>
    <xf numFmtId="0" fontId="16" fillId="5" borderId="5" xfId="0" applyFont="1" applyFill="1" applyBorder="1" applyAlignment="1">
      <alignment horizontal="center" vertical="center"/>
    </xf>
    <xf numFmtId="3" fontId="16" fillId="5" borderId="5" xfId="0" applyNumberFormat="1" applyFont="1" applyFill="1" applyBorder="1" applyAlignment="1">
      <alignment vertical="center"/>
    </xf>
    <xf numFmtId="4" fontId="16" fillId="5" borderId="5" xfId="0" applyNumberFormat="1" applyFont="1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16" fillId="5" borderId="0" xfId="0" applyFont="1" applyFill="1" applyAlignment="1">
      <alignment horizontal="center" vertical="center"/>
    </xf>
    <xf numFmtId="4" fontId="16" fillId="5" borderId="0" xfId="0" applyNumberFormat="1" applyFont="1" applyFill="1" applyAlignment="1">
      <alignment vertical="center"/>
    </xf>
    <xf numFmtId="3" fontId="16" fillId="5" borderId="0" xfId="0" applyNumberFormat="1" applyFont="1" applyFill="1" applyAlignment="1">
      <alignment vertical="center"/>
    </xf>
    <xf numFmtId="3" fontId="19" fillId="5" borderId="0" xfId="0" applyNumberFormat="1" applyFont="1" applyFill="1" applyAlignment="1">
      <alignment horizontal="centerContinuous" vertical="center"/>
    </xf>
    <xf numFmtId="4" fontId="16" fillId="5" borderId="0" xfId="0" applyNumberFormat="1" applyFont="1" applyFill="1" applyAlignment="1">
      <alignment horizontal="centerContinuous" vertical="center"/>
    </xf>
    <xf numFmtId="0" fontId="20" fillId="0" borderId="8" xfId="0" applyFont="1" applyBorder="1" applyAlignment="1">
      <alignment vertical="center"/>
    </xf>
    <xf numFmtId="3" fontId="16" fillId="2" borderId="13" xfId="0" applyNumberFormat="1" applyFont="1" applyFill="1" applyBorder="1" applyAlignment="1">
      <alignment horizontal="right" vertical="center"/>
    </xf>
    <xf numFmtId="168" fontId="16" fillId="2" borderId="13" xfId="0" applyNumberFormat="1" applyFont="1" applyFill="1" applyBorder="1" applyAlignment="1">
      <alignment horizontal="right" vertical="center"/>
    </xf>
    <xf numFmtId="0" fontId="0" fillId="5" borderId="12" xfId="0" applyFill="1" applyBorder="1" applyAlignment="1">
      <alignment vertical="center"/>
    </xf>
    <xf numFmtId="0" fontId="0" fillId="5" borderId="0" xfId="0" applyFill="1" applyAlignment="1">
      <alignment horizontal="centerContinuous" vertical="center"/>
    </xf>
    <xf numFmtId="0" fontId="0" fillId="5" borderId="5" xfId="0" applyFill="1" applyBorder="1" applyAlignment="1">
      <alignment horizontal="center" vertical="center"/>
    </xf>
    <xf numFmtId="169" fontId="0" fillId="5" borderId="5" xfId="0" applyNumberFormat="1" applyFill="1" applyBorder="1" applyAlignment="1">
      <alignment horizontal="center" vertical="center"/>
    </xf>
    <xf numFmtId="4" fontId="0" fillId="5" borderId="5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69" fontId="0" fillId="5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169" fontId="0" fillId="5" borderId="0" xfId="0" applyNumberFormat="1" applyFill="1" applyAlignment="1">
      <alignment horizontal="centerContinuous" vertical="center"/>
    </xf>
    <xf numFmtId="4" fontId="0" fillId="5" borderId="0" xfId="0" applyNumberFormat="1" applyFill="1" applyAlignment="1">
      <alignment horizontal="centerContinuous" vertical="center"/>
    </xf>
    <xf numFmtId="3" fontId="20" fillId="0" borderId="0" xfId="0" applyNumberFormat="1" applyFont="1" applyAlignment="1">
      <alignment vertical="center"/>
    </xf>
    <xf numFmtId="1" fontId="20" fillId="0" borderId="0" xfId="0" applyNumberFormat="1" applyFont="1" applyAlignment="1">
      <alignment horizontal="center" vertical="center"/>
    </xf>
    <xf numFmtId="0" fontId="13" fillId="5" borderId="0" xfId="0" applyFont="1" applyFill="1" applyAlignment="1">
      <alignment horizontal="right" vertical="center"/>
    </xf>
    <xf numFmtId="0" fontId="18" fillId="5" borderId="0" xfId="0" applyFont="1" applyFill="1" applyAlignment="1">
      <alignment horizontal="center" vertical="center" wrapText="1"/>
    </xf>
    <xf numFmtId="0" fontId="18" fillId="5" borderId="0" xfId="0" applyFont="1" applyFill="1" applyAlignment="1">
      <alignment horizontal="centerContinuous" vertical="center" wrapText="1"/>
    </xf>
    <xf numFmtId="0" fontId="20" fillId="0" borderId="0" xfId="0" applyFont="1" applyAlignment="1">
      <alignment vertical="center"/>
    </xf>
    <xf numFmtId="170" fontId="20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2" fontId="24" fillId="0" borderId="10" xfId="0" applyNumberFormat="1" applyFont="1" applyBorder="1" applyAlignment="1">
      <alignment horizontal="left" vertical="center"/>
    </xf>
    <xf numFmtId="171" fontId="0" fillId="0" borderId="0" xfId="0" applyNumberFormat="1" applyAlignment="1">
      <alignment vertical="center"/>
    </xf>
    <xf numFmtId="172" fontId="0" fillId="0" borderId="0" xfId="0" applyNumberFormat="1" applyAlignment="1">
      <alignment vertical="center"/>
    </xf>
    <xf numFmtId="2" fontId="0" fillId="0" borderId="10" xfId="0" applyNumberFormat="1" applyBorder="1" applyAlignment="1">
      <alignment horizontal="right" vertical="center"/>
    </xf>
    <xf numFmtId="2" fontId="24" fillId="0" borderId="10" xfId="0" applyNumberFormat="1" applyFont="1" applyBorder="1" applyAlignment="1">
      <alignment horizontal="right" vertical="center"/>
    </xf>
    <xf numFmtId="0" fontId="16" fillId="0" borderId="0" xfId="0" applyFont="1" applyAlignment="1">
      <alignment horizontal="center" vertical="center" wrapText="1"/>
    </xf>
    <xf numFmtId="38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25" xfId="0" applyBorder="1" applyAlignment="1">
      <alignment vertical="center"/>
    </xf>
    <xf numFmtId="0" fontId="17" fillId="0" borderId="0" xfId="0" applyFont="1" applyAlignment="1">
      <alignment horizontal="left" vertical="center"/>
    </xf>
    <xf numFmtId="170" fontId="17" fillId="0" borderId="0" xfId="0" applyNumberFormat="1" applyFont="1" applyAlignment="1">
      <alignment vertical="center"/>
    </xf>
    <xf numFmtId="168" fontId="17" fillId="0" borderId="0" xfId="0" applyNumberFormat="1" applyFont="1" applyAlignment="1">
      <alignment vertical="center"/>
    </xf>
    <xf numFmtId="4" fontId="17" fillId="0" borderId="0" xfId="0" applyNumberFormat="1" applyFont="1" applyAlignment="1">
      <alignment vertical="center"/>
    </xf>
    <xf numFmtId="169" fontId="0" fillId="0" borderId="0" xfId="0" applyNumberFormat="1" applyAlignment="1">
      <alignment horizontal="centerContinuous" vertical="center"/>
    </xf>
    <xf numFmtId="4" fontId="0" fillId="0" borderId="0" xfId="0" applyNumberFormat="1" applyAlignment="1">
      <alignment horizontal="centerContinuous" vertical="center"/>
    </xf>
    <xf numFmtId="40" fontId="0" fillId="0" borderId="0" xfId="0" applyNumberFormat="1" applyAlignment="1">
      <alignment horizontal="right" vertical="center"/>
    </xf>
    <xf numFmtId="0" fontId="16" fillId="5" borderId="0" xfId="0" applyFont="1" applyFill="1" applyAlignment="1">
      <alignment horizontal="right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right" vertical="center"/>
    </xf>
    <xf numFmtId="0" fontId="26" fillId="0" borderId="9" xfId="0" applyFont="1" applyBorder="1" applyAlignment="1">
      <alignment vertical="center"/>
    </xf>
    <xf numFmtId="0" fontId="26" fillId="0" borderId="10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25" fillId="6" borderId="6" xfId="0" applyFont="1" applyFill="1" applyBorder="1" applyAlignment="1">
      <alignment vertical="center"/>
    </xf>
    <xf numFmtId="4" fontId="25" fillId="6" borderId="6" xfId="0" applyNumberFormat="1" applyFont="1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5" borderId="29" xfId="0" applyFill="1" applyBorder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right" vertical="center"/>
    </xf>
    <xf numFmtId="0" fontId="0" fillId="0" borderId="29" xfId="0" applyBorder="1" applyAlignment="1">
      <alignment vertical="center"/>
    </xf>
    <xf numFmtId="0" fontId="19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168" fontId="26" fillId="0" borderId="0" xfId="0" applyNumberFormat="1" applyFont="1" applyAlignment="1">
      <alignment horizontal="right" vertical="center"/>
    </xf>
    <xf numFmtId="9" fontId="16" fillId="0" borderId="0" xfId="1" applyFont="1"/>
    <xf numFmtId="168" fontId="16" fillId="0" borderId="0" xfId="0" applyNumberFormat="1" applyFont="1" applyAlignment="1">
      <alignment vertical="center"/>
    </xf>
    <xf numFmtId="0" fontId="25" fillId="0" borderId="0" xfId="0" applyFont="1" applyAlignment="1">
      <alignment horizontal="center" vertical="center" wrapText="1"/>
    </xf>
    <xf numFmtId="168" fontId="26" fillId="0" borderId="7" xfId="0" applyNumberFormat="1" applyFont="1" applyBorder="1" applyAlignment="1">
      <alignment vertical="center"/>
    </xf>
    <xf numFmtId="0" fontId="26" fillId="0" borderId="0" xfId="0" applyFont="1" applyAlignment="1">
      <alignment horizontal="left" vertical="center"/>
    </xf>
    <xf numFmtId="40" fontId="26" fillId="0" borderId="0" xfId="0" applyNumberFormat="1" applyFont="1" applyAlignment="1">
      <alignment vertical="center"/>
    </xf>
    <xf numFmtId="0" fontId="16" fillId="5" borderId="5" xfId="0" applyFont="1" applyFill="1" applyBorder="1" applyAlignment="1">
      <alignment vertical="center"/>
    </xf>
    <xf numFmtId="9" fontId="15" fillId="0" borderId="0" xfId="1" applyFill="1" applyBorder="1" applyProtection="1"/>
    <xf numFmtId="2" fontId="24" fillId="0" borderId="0" xfId="0" applyNumberFormat="1" applyFont="1" applyAlignment="1">
      <alignment horizontal="left" vertical="center"/>
    </xf>
    <xf numFmtId="0" fontId="13" fillId="7" borderId="0" xfId="0" applyFont="1" applyFill="1" applyAlignment="1">
      <alignment horizontal="center" vertical="center" wrapText="1"/>
    </xf>
    <xf numFmtId="2" fontId="0" fillId="7" borderId="0" xfId="0" applyNumberFormat="1" applyFill="1" applyAlignment="1">
      <alignment horizontal="left" vertical="center"/>
    </xf>
    <xf numFmtId="2" fontId="0" fillId="7" borderId="0" xfId="0" applyNumberFormat="1" applyFill="1" applyAlignment="1">
      <alignment horizontal="right" vertical="center"/>
    </xf>
    <xf numFmtId="9" fontId="15" fillId="7" borderId="0" xfId="1" applyFill="1" applyBorder="1"/>
    <xf numFmtId="9" fontId="15" fillId="7" borderId="0" xfId="1" applyFill="1" applyBorder="1" applyProtection="1"/>
    <xf numFmtId="0" fontId="30" fillId="0" borderId="18" xfId="0" applyFont="1" applyBorder="1" applyAlignment="1">
      <alignment horizontal="left" vertical="center"/>
    </xf>
    <xf numFmtId="168" fontId="30" fillId="0" borderId="18" xfId="0" applyNumberFormat="1" applyFont="1" applyBorder="1" applyAlignment="1">
      <alignment horizontal="right" vertical="center"/>
    </xf>
    <xf numFmtId="9" fontId="30" fillId="0" borderId="18" xfId="1" applyFont="1" applyFill="1" applyBorder="1" applyAlignment="1" applyProtection="1">
      <alignment vertical="center"/>
    </xf>
    <xf numFmtId="0" fontId="30" fillId="0" borderId="10" xfId="0" applyFont="1" applyBorder="1" applyAlignment="1">
      <alignment horizontal="left" vertical="center"/>
    </xf>
    <xf numFmtId="168" fontId="30" fillId="0" borderId="10" xfId="0" applyNumberFormat="1" applyFont="1" applyBorder="1" applyAlignment="1">
      <alignment horizontal="right" vertical="center"/>
    </xf>
    <xf numFmtId="9" fontId="30" fillId="0" borderId="10" xfId="1" applyFont="1" applyFill="1" applyBorder="1" applyAlignment="1" applyProtection="1">
      <alignment vertical="center"/>
    </xf>
    <xf numFmtId="0" fontId="30" fillId="0" borderId="0" xfId="0" applyFont="1" applyAlignment="1">
      <alignment vertical="center"/>
    </xf>
    <xf numFmtId="168" fontId="30" fillId="0" borderId="0" xfId="0" applyNumberFormat="1" applyFont="1" applyAlignment="1">
      <alignment horizontal="right" vertical="center"/>
    </xf>
    <xf numFmtId="0" fontId="18" fillId="3" borderId="21" xfId="0" applyFont="1" applyFill="1" applyBorder="1" applyAlignment="1">
      <alignment horizontal="center" vertical="center"/>
    </xf>
    <xf numFmtId="4" fontId="18" fillId="3" borderId="21" xfId="0" applyNumberFormat="1" applyFont="1" applyFill="1" applyBorder="1" applyAlignment="1">
      <alignment vertical="center"/>
    </xf>
    <xf numFmtId="0" fontId="30" fillId="3" borderId="21" xfId="0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9" fontId="15" fillId="0" borderId="0" xfId="1"/>
    <xf numFmtId="2" fontId="0" fillId="0" borderId="0" xfId="0" applyNumberFormat="1" applyAlignment="1">
      <alignment vertical="center"/>
    </xf>
    <xf numFmtId="0" fontId="0" fillId="0" borderId="30" xfId="0" applyBorder="1" applyAlignment="1">
      <alignment vertical="center"/>
    </xf>
    <xf numFmtId="0" fontId="18" fillId="0" borderId="0" xfId="0" applyFont="1" applyAlignment="1">
      <alignment horizontal="center" vertical="center"/>
    </xf>
    <xf numFmtId="4" fontId="18" fillId="0" borderId="0" xfId="0" applyNumberFormat="1" applyFont="1" applyAlignment="1">
      <alignment vertical="center"/>
    </xf>
    <xf numFmtId="4" fontId="16" fillId="0" borderId="32" xfId="0" applyNumberFormat="1" applyFont="1" applyBorder="1" applyAlignment="1">
      <alignment vertical="center"/>
    </xf>
    <xf numFmtId="173" fontId="33" fillId="0" borderId="0" xfId="0" applyNumberFormat="1" applyFont="1" applyAlignment="1">
      <alignment vertical="center"/>
    </xf>
    <xf numFmtId="173" fontId="33" fillId="0" borderId="0" xfId="0" applyNumberFormat="1" applyFont="1" applyAlignment="1">
      <alignment horizontal="center" vertical="center"/>
    </xf>
    <xf numFmtId="0" fontId="0" fillId="0" borderId="32" xfId="0" applyBorder="1" applyAlignment="1">
      <alignment vertical="center"/>
    </xf>
    <xf numFmtId="40" fontId="13" fillId="3" borderId="20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center" vertical="center"/>
    </xf>
    <xf numFmtId="9" fontId="30" fillId="0" borderId="24" xfId="1" applyFont="1" applyFill="1" applyBorder="1" applyAlignment="1" applyProtection="1">
      <alignment vertical="center"/>
    </xf>
    <xf numFmtId="0" fontId="30" fillId="0" borderId="10" xfId="0" applyFont="1" applyBorder="1" applyAlignment="1">
      <alignment vertical="center"/>
    </xf>
    <xf numFmtId="168" fontId="25" fillId="4" borderId="13" xfId="0" applyNumberFormat="1" applyFont="1" applyFill="1" applyBorder="1" applyAlignment="1">
      <alignment vertical="center"/>
    </xf>
    <xf numFmtId="0" fontId="16" fillId="2" borderId="12" xfId="0" applyFont="1" applyFill="1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170" fontId="0" fillId="0" borderId="22" xfId="0" applyNumberFormat="1" applyBorder="1" applyAlignment="1">
      <alignment horizontal="center" vertical="center"/>
    </xf>
    <xf numFmtId="168" fontId="0" fillId="0" borderId="22" xfId="0" applyNumberFormat="1" applyBorder="1" applyAlignment="1">
      <alignment horizontal="right" vertical="center"/>
    </xf>
    <xf numFmtId="1" fontId="0" fillId="0" borderId="9" xfId="0" applyNumberFormat="1" applyBorder="1" applyAlignment="1">
      <alignment horizontal="left" vertical="center"/>
    </xf>
    <xf numFmtId="1" fontId="0" fillId="0" borderId="10" xfId="0" applyNumberFormat="1" applyBorder="1" applyAlignment="1">
      <alignment horizontal="left" vertical="center"/>
    </xf>
    <xf numFmtId="168" fontId="0" fillId="0" borderId="10" xfId="0" applyNumberFormat="1" applyBorder="1" applyAlignment="1">
      <alignment horizontal="right" vertical="center"/>
    </xf>
    <xf numFmtId="1" fontId="0" fillId="0" borderId="33" xfId="0" applyNumberFormat="1" applyBorder="1" applyAlignment="1">
      <alignment horizontal="left" vertical="center"/>
    </xf>
    <xf numFmtId="168" fontId="0" fillId="0" borderId="33" xfId="0" applyNumberFormat="1" applyBorder="1" applyAlignment="1">
      <alignment horizontal="right" vertical="center"/>
    </xf>
    <xf numFmtId="0" fontId="0" fillId="0" borderId="9" xfId="0" applyBorder="1" applyAlignment="1">
      <alignment vertical="center"/>
    </xf>
    <xf numFmtId="168" fontId="0" fillId="0" borderId="9" xfId="0" applyNumberFormat="1" applyBorder="1" applyAlignment="1">
      <alignment horizontal="right" vertical="center"/>
    </xf>
    <xf numFmtId="2" fontId="0" fillId="0" borderId="9" xfId="0" applyNumberFormat="1" applyBorder="1" applyAlignment="1">
      <alignment horizontal="left" vertical="center"/>
    </xf>
    <xf numFmtId="2" fontId="0" fillId="0" borderId="9" xfId="0" applyNumberFormat="1" applyBorder="1" applyAlignment="1">
      <alignment horizontal="right" vertical="center"/>
    </xf>
    <xf numFmtId="9" fontId="15" fillId="0" borderId="9" xfId="1" applyFill="1" applyBorder="1"/>
    <xf numFmtId="0" fontId="0" fillId="0" borderId="33" xfId="0" applyBorder="1" applyAlignment="1">
      <alignment vertical="center"/>
    </xf>
    <xf numFmtId="2" fontId="0" fillId="0" borderId="33" xfId="0" applyNumberFormat="1" applyBorder="1" applyAlignment="1">
      <alignment horizontal="right" vertical="center"/>
    </xf>
    <xf numFmtId="9" fontId="15" fillId="0" borderId="33" xfId="1" applyFill="1" applyBorder="1" applyProtection="1"/>
    <xf numFmtId="0" fontId="34" fillId="0" borderId="0" xfId="0" applyFont="1" applyAlignment="1">
      <alignment horizontal="right" vertical="center"/>
    </xf>
    <xf numFmtId="0" fontId="35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vertical="center"/>
    </xf>
    <xf numFmtId="4" fontId="23" fillId="0" borderId="0" xfId="0" applyNumberFormat="1" applyFont="1" applyAlignment="1">
      <alignment vertical="center"/>
    </xf>
    <xf numFmtId="4" fontId="22" fillId="0" borderId="0" xfId="0" applyNumberFormat="1" applyFont="1" applyAlignment="1">
      <alignment horizontal="right" vertical="center"/>
    </xf>
    <xf numFmtId="0" fontId="23" fillId="2" borderId="13" xfId="0" applyFont="1" applyFill="1" applyBorder="1" applyAlignment="1">
      <alignment horizontal="center" vertical="center" wrapText="1"/>
    </xf>
    <xf numFmtId="0" fontId="36" fillId="0" borderId="7" xfId="0" applyFont="1" applyBorder="1" applyAlignment="1">
      <alignment horizontal="left" vertical="center"/>
    </xf>
    <xf numFmtId="170" fontId="36" fillId="0" borderId="7" xfId="0" applyNumberFormat="1" applyFont="1" applyBorder="1" applyAlignment="1">
      <alignment horizontal="center" vertical="center"/>
    </xf>
    <xf numFmtId="174" fontId="36" fillId="0" borderId="7" xfId="0" applyNumberFormat="1" applyFont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10" fontId="15" fillId="0" borderId="0" xfId="1" applyNumberFormat="1"/>
    <xf numFmtId="0" fontId="36" fillId="0" borderId="11" xfId="0" applyFont="1" applyBorder="1" applyAlignment="1">
      <alignment horizontal="left" vertical="center"/>
    </xf>
    <xf numFmtId="170" fontId="36" fillId="0" borderId="11" xfId="0" applyNumberFormat="1" applyFont="1" applyBorder="1" applyAlignment="1">
      <alignment horizontal="center" vertical="center"/>
    </xf>
    <xf numFmtId="174" fontId="36" fillId="0" borderId="11" xfId="0" applyNumberFormat="1" applyFont="1" applyBorder="1" applyAlignment="1">
      <alignment horizontal="center" vertical="center"/>
    </xf>
    <xf numFmtId="0" fontId="36" fillId="0" borderId="22" xfId="0" applyFont="1" applyBorder="1" applyAlignment="1">
      <alignment horizontal="left" vertical="center"/>
    </xf>
    <xf numFmtId="170" fontId="36" fillId="0" borderId="22" xfId="0" applyNumberFormat="1" applyFont="1" applyBorder="1" applyAlignment="1">
      <alignment horizontal="center" vertical="center"/>
    </xf>
    <xf numFmtId="174" fontId="36" fillId="0" borderId="22" xfId="0" applyNumberFormat="1" applyFont="1" applyBorder="1" applyAlignment="1">
      <alignment horizontal="center" vertical="center"/>
    </xf>
    <xf numFmtId="0" fontId="23" fillId="2" borderId="32" xfId="0" applyFont="1" applyFill="1" applyBorder="1" applyAlignment="1">
      <alignment horizontal="center" vertical="center"/>
    </xf>
    <xf numFmtId="3" fontId="23" fillId="2" borderId="3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vertical="center"/>
    </xf>
    <xf numFmtId="3" fontId="19" fillId="5" borderId="0" xfId="0" applyNumberFormat="1" applyFont="1" applyFill="1" applyAlignment="1">
      <alignment horizontal="left" vertical="center"/>
    </xf>
    <xf numFmtId="0" fontId="37" fillId="5" borderId="4" xfId="0" applyFont="1" applyFill="1" applyBorder="1" applyAlignment="1">
      <alignment vertical="center"/>
    </xf>
    <xf numFmtId="0" fontId="23" fillId="5" borderId="5" xfId="0" applyFont="1" applyFill="1" applyBorder="1" applyAlignment="1">
      <alignment horizontal="center" vertical="center"/>
    </xf>
    <xf numFmtId="3" fontId="23" fillId="5" borderId="5" xfId="0" applyNumberFormat="1" applyFont="1" applyFill="1" applyBorder="1" applyAlignment="1">
      <alignment vertical="center"/>
    </xf>
    <xf numFmtId="4" fontId="23" fillId="5" borderId="5" xfId="0" applyNumberFormat="1" applyFont="1" applyFill="1" applyBorder="1" applyAlignment="1">
      <alignment vertical="center"/>
    </xf>
    <xf numFmtId="0" fontId="37" fillId="5" borderId="35" xfId="0" applyFont="1" applyFill="1" applyBorder="1" applyAlignment="1">
      <alignment vertical="center"/>
    </xf>
    <xf numFmtId="0" fontId="37" fillId="5" borderId="1" xfId="0" applyFont="1" applyFill="1" applyBorder="1" applyAlignment="1">
      <alignment vertical="center"/>
    </xf>
    <xf numFmtId="0" fontId="23" fillId="5" borderId="0" xfId="0" applyFont="1" applyFill="1" applyAlignment="1">
      <alignment horizontal="center" vertical="center"/>
    </xf>
    <xf numFmtId="4" fontId="23" fillId="5" borderId="0" xfId="0" applyNumberFormat="1" applyFont="1" applyFill="1" applyAlignment="1">
      <alignment vertical="center"/>
    </xf>
    <xf numFmtId="0" fontId="37" fillId="5" borderId="36" xfId="0" applyFont="1" applyFill="1" applyBorder="1" applyAlignment="1">
      <alignment vertical="center"/>
    </xf>
    <xf numFmtId="3" fontId="23" fillId="5" borderId="0" xfId="0" applyNumberFormat="1" applyFont="1" applyFill="1" applyAlignment="1">
      <alignment vertical="center"/>
    </xf>
    <xf numFmtId="3" fontId="23" fillId="5" borderId="0" xfId="0" applyNumberFormat="1" applyFont="1" applyFill="1" applyAlignment="1">
      <alignment horizontal="centerContinuous" vertical="center"/>
    </xf>
    <xf numFmtId="4" fontId="23" fillId="5" borderId="0" xfId="0" applyNumberFormat="1" applyFont="1" applyFill="1" applyAlignment="1">
      <alignment horizontal="centerContinuous" vertical="center"/>
    </xf>
    <xf numFmtId="0" fontId="37" fillId="0" borderId="1" xfId="0" applyFont="1" applyBorder="1" applyAlignment="1">
      <alignment vertical="center"/>
    </xf>
    <xf numFmtId="0" fontId="37" fillId="0" borderId="36" xfId="0" applyFont="1" applyBorder="1" applyAlignment="1">
      <alignment vertical="center"/>
    </xf>
    <xf numFmtId="0" fontId="38" fillId="0" borderId="36" xfId="0" applyFont="1" applyBorder="1" applyAlignment="1">
      <alignment vertical="center"/>
    </xf>
    <xf numFmtId="0" fontId="23" fillId="2" borderId="13" xfId="0" applyFont="1" applyFill="1" applyBorder="1" applyAlignment="1">
      <alignment horizontal="center" vertical="center"/>
    </xf>
    <xf numFmtId="3" fontId="23" fillId="2" borderId="13" xfId="0" applyNumberFormat="1" applyFont="1" applyFill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34" xfId="0" applyFont="1" applyBorder="1" applyAlignment="1">
      <alignment vertical="center"/>
    </xf>
    <xf numFmtId="3" fontId="37" fillId="0" borderId="0" xfId="0" applyNumberFormat="1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7" fillId="0" borderId="27" xfId="0" applyFont="1" applyBorder="1" applyAlignment="1">
      <alignment vertical="center"/>
    </xf>
    <xf numFmtId="0" fontId="37" fillId="0" borderId="32" xfId="0" applyFont="1" applyBorder="1" applyAlignment="1">
      <alignment vertical="center"/>
    </xf>
    <xf numFmtId="0" fontId="37" fillId="0" borderId="37" xfId="0" applyFont="1" applyBorder="1" applyAlignment="1">
      <alignment vertical="center"/>
    </xf>
    <xf numFmtId="0" fontId="13" fillId="5" borderId="0" xfId="0" applyFont="1" applyFill="1" applyAlignment="1">
      <alignment horizontal="right"/>
    </xf>
    <xf numFmtId="0" fontId="39" fillId="5" borderId="4" xfId="0" applyFont="1" applyFill="1" applyBorder="1" applyAlignment="1">
      <alignment vertical="center"/>
    </xf>
    <xf numFmtId="0" fontId="39" fillId="5" borderId="17" xfId="0" applyFont="1" applyFill="1" applyBorder="1" applyAlignment="1">
      <alignment vertical="center"/>
    </xf>
    <xf numFmtId="0" fontId="39" fillId="5" borderId="1" xfId="0" applyFont="1" applyFill="1" applyBorder="1" applyAlignment="1">
      <alignment vertical="center"/>
    </xf>
    <xf numFmtId="0" fontId="39" fillId="5" borderId="8" xfId="0" applyFont="1" applyFill="1" applyBorder="1" applyAlignment="1">
      <alignment vertical="center"/>
    </xf>
    <xf numFmtId="0" fontId="39" fillId="0" borderId="1" xfId="0" applyFont="1" applyBorder="1" applyAlignment="1">
      <alignment vertical="center"/>
    </xf>
    <xf numFmtId="0" fontId="39" fillId="0" borderId="8" xfId="0" applyFont="1" applyBorder="1" applyAlignment="1">
      <alignment vertical="center"/>
    </xf>
    <xf numFmtId="0" fontId="40" fillId="0" borderId="8" xfId="0" applyFont="1" applyBorder="1" applyAlignment="1">
      <alignment vertical="center"/>
    </xf>
    <xf numFmtId="174" fontId="36" fillId="0" borderId="7" xfId="0" applyNumberFormat="1" applyFont="1" applyBorder="1" applyAlignment="1">
      <alignment horizontal="left" vertical="center"/>
    </xf>
    <xf numFmtId="0" fontId="23" fillId="2" borderId="12" xfId="0" applyFont="1" applyFill="1" applyBorder="1" applyAlignment="1">
      <alignment horizontal="center" vertical="center" wrapText="1"/>
    </xf>
    <xf numFmtId="170" fontId="37" fillId="0" borderId="7" xfId="0" applyNumberFormat="1" applyFont="1" applyBorder="1" applyAlignment="1">
      <alignment horizontal="left" vertical="center"/>
    </xf>
    <xf numFmtId="0" fontId="38" fillId="0" borderId="8" xfId="0" applyFont="1" applyBorder="1" applyAlignment="1">
      <alignment horizontal="center" vertical="center"/>
    </xf>
    <xf numFmtId="170" fontId="37" fillId="0" borderId="11" xfId="0" applyNumberFormat="1" applyFont="1" applyBorder="1" applyAlignment="1">
      <alignment horizontal="left" vertical="center"/>
    </xf>
    <xf numFmtId="170" fontId="37" fillId="0" borderId="0" xfId="0" applyNumberFormat="1" applyFont="1" applyAlignment="1">
      <alignment horizontal="center" vertical="center"/>
    </xf>
    <xf numFmtId="174" fontId="37" fillId="0" borderId="0" xfId="0" applyNumberFormat="1" applyFont="1" applyAlignment="1">
      <alignment horizontal="center" vertical="center"/>
    </xf>
    <xf numFmtId="170" fontId="37" fillId="0" borderId="32" xfId="0" applyNumberFormat="1" applyFont="1" applyBorder="1" applyAlignment="1">
      <alignment horizontal="center" vertical="center"/>
    </xf>
    <xf numFmtId="174" fontId="37" fillId="0" borderId="32" xfId="0" applyNumberFormat="1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170" fontId="37" fillId="0" borderId="22" xfId="0" applyNumberFormat="1" applyFont="1" applyBorder="1" applyAlignment="1">
      <alignment horizontal="left" vertical="center"/>
    </xf>
    <xf numFmtId="168" fontId="0" fillId="0" borderId="7" xfId="0" applyNumberFormat="1" applyBorder="1" applyAlignment="1">
      <alignment horizontal="center" vertical="center"/>
    </xf>
    <xf numFmtId="168" fontId="0" fillId="0" borderId="11" xfId="0" applyNumberFormat="1" applyBorder="1" applyAlignment="1">
      <alignment horizontal="center" vertical="center"/>
    </xf>
    <xf numFmtId="168" fontId="0" fillId="0" borderId="22" xfId="0" applyNumberFormat="1" applyBorder="1" applyAlignment="1">
      <alignment horizontal="center" vertical="center"/>
    </xf>
    <xf numFmtId="4" fontId="36" fillId="0" borderId="0" xfId="0" applyNumberFormat="1" applyFont="1" applyAlignment="1">
      <alignment horizontal="right" vertical="center"/>
    </xf>
    <xf numFmtId="175" fontId="23" fillId="2" borderId="32" xfId="0" applyNumberFormat="1" applyFont="1" applyFill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33" xfId="0" applyNumberForma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33" xfId="0" applyNumberFormat="1" applyBorder="1" applyAlignment="1">
      <alignment horizontal="center" vertical="center"/>
    </xf>
    <xf numFmtId="4" fontId="0" fillId="0" borderId="7" xfId="0" applyNumberFormat="1" applyBorder="1" applyAlignment="1">
      <alignment vertical="center"/>
    </xf>
    <xf numFmtId="3" fontId="0" fillId="0" borderId="7" xfId="0" applyNumberFormat="1" applyBorder="1" applyAlignment="1">
      <alignment vertical="center"/>
    </xf>
    <xf numFmtId="3" fontId="0" fillId="0" borderId="22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170" fontId="0" fillId="0" borderId="11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3" fontId="16" fillId="2" borderId="6" xfId="0" applyNumberFormat="1" applyFont="1" applyFill="1" applyBorder="1" applyAlignment="1">
      <alignment horizontal="center" vertical="center"/>
    </xf>
    <xf numFmtId="4" fontId="16" fillId="2" borderId="6" xfId="0" applyNumberFormat="1" applyFont="1" applyFill="1" applyBorder="1" applyAlignment="1">
      <alignment horizontal="center" vertical="center"/>
    </xf>
    <xf numFmtId="168" fontId="0" fillId="0" borderId="22" xfId="0" applyNumberFormat="1" applyBorder="1" applyAlignment="1">
      <alignment vertical="center"/>
    </xf>
    <xf numFmtId="0" fontId="16" fillId="2" borderId="38" xfId="0" applyFont="1" applyFill="1" applyBorder="1" applyAlignment="1">
      <alignment horizontal="center" vertical="center" wrapText="1"/>
    </xf>
    <xf numFmtId="4" fontId="17" fillId="0" borderId="7" xfId="0" applyNumberFormat="1" applyFont="1" applyBorder="1" applyAlignment="1">
      <alignment horizontal="center" vertical="center"/>
    </xf>
    <xf numFmtId="4" fontId="17" fillId="0" borderId="11" xfId="0" applyNumberFormat="1" applyFont="1" applyBorder="1" applyAlignment="1">
      <alignment horizontal="center" vertical="center"/>
    </xf>
    <xf numFmtId="4" fontId="17" fillId="0" borderId="22" xfId="0" applyNumberFormat="1" applyFont="1" applyBorder="1" applyAlignment="1">
      <alignment horizontal="center" vertical="center"/>
    </xf>
    <xf numFmtId="170" fontId="36" fillId="0" borderId="7" xfId="0" applyNumberFormat="1" applyFont="1" applyBorder="1" applyAlignment="1">
      <alignment horizontal="left" vertical="center"/>
    </xf>
    <xf numFmtId="170" fontId="36" fillId="0" borderId="11" xfId="0" applyNumberFormat="1" applyFont="1" applyBorder="1" applyAlignment="1">
      <alignment horizontal="left" vertical="center"/>
    </xf>
    <xf numFmtId="170" fontId="36" fillId="0" borderId="22" xfId="0" applyNumberFormat="1" applyFont="1" applyBorder="1" applyAlignment="1">
      <alignment horizontal="left" vertical="center"/>
    </xf>
    <xf numFmtId="174" fontId="36" fillId="0" borderId="11" xfId="0" applyNumberFormat="1" applyFont="1" applyBorder="1" applyAlignment="1">
      <alignment horizontal="left" vertical="center"/>
    </xf>
    <xf numFmtId="174" fontId="36" fillId="0" borderId="22" xfId="0" applyNumberFormat="1" applyFont="1" applyBorder="1" applyAlignment="1">
      <alignment horizontal="left" vertical="center"/>
    </xf>
    <xf numFmtId="3" fontId="36" fillId="0" borderId="7" xfId="0" applyNumberFormat="1" applyFont="1" applyBorder="1" applyAlignment="1">
      <alignment horizontal="center" vertical="center"/>
    </xf>
    <xf numFmtId="175" fontId="36" fillId="0" borderId="7" xfId="0" applyNumberFormat="1" applyFont="1" applyBorder="1" applyAlignment="1">
      <alignment horizontal="center" vertical="center"/>
    </xf>
    <xf numFmtId="3" fontId="36" fillId="0" borderId="11" xfId="0" applyNumberFormat="1" applyFont="1" applyBorder="1" applyAlignment="1">
      <alignment horizontal="center" vertical="center"/>
    </xf>
    <xf numFmtId="175" fontId="36" fillId="0" borderId="11" xfId="0" applyNumberFormat="1" applyFont="1" applyBorder="1" applyAlignment="1">
      <alignment horizontal="center" vertical="center"/>
    </xf>
    <xf numFmtId="3" fontId="36" fillId="0" borderId="22" xfId="0" applyNumberFormat="1" applyFont="1" applyBorder="1" applyAlignment="1">
      <alignment horizontal="center" vertical="center"/>
    </xf>
    <xf numFmtId="175" fontId="36" fillId="0" borderId="22" xfId="0" applyNumberFormat="1" applyFont="1" applyBorder="1" applyAlignment="1">
      <alignment horizontal="center" vertical="center"/>
    </xf>
    <xf numFmtId="170" fontId="37" fillId="0" borderId="7" xfId="0" applyNumberFormat="1" applyFont="1" applyBorder="1" applyAlignment="1">
      <alignment horizontal="center" vertical="center"/>
    </xf>
    <xf numFmtId="170" fontId="37" fillId="0" borderId="11" xfId="0" applyNumberFormat="1" applyFont="1" applyBorder="1" applyAlignment="1">
      <alignment horizontal="center" vertical="center"/>
    </xf>
    <xf numFmtId="170" fontId="37" fillId="0" borderId="22" xfId="0" applyNumberFormat="1" applyFont="1" applyBorder="1" applyAlignment="1">
      <alignment horizontal="center" vertical="center"/>
    </xf>
    <xf numFmtId="3" fontId="17" fillId="0" borderId="7" xfId="0" applyNumberFormat="1" applyFont="1" applyBorder="1" applyAlignment="1">
      <alignment horizontal="center" vertical="center"/>
    </xf>
    <xf numFmtId="3" fontId="17" fillId="0" borderId="11" xfId="0" applyNumberFormat="1" applyFont="1" applyBorder="1" applyAlignment="1">
      <alignment horizontal="center" vertical="center"/>
    </xf>
    <xf numFmtId="3" fontId="17" fillId="0" borderId="22" xfId="0" applyNumberFormat="1" applyFont="1" applyBorder="1" applyAlignment="1">
      <alignment horizontal="center" vertical="center"/>
    </xf>
    <xf numFmtId="175" fontId="17" fillId="0" borderId="7" xfId="0" applyNumberFormat="1" applyFont="1" applyBorder="1" applyAlignment="1">
      <alignment horizontal="center" vertical="center"/>
    </xf>
    <xf numFmtId="175" fontId="17" fillId="0" borderId="11" xfId="0" applyNumberFormat="1" applyFont="1" applyBorder="1" applyAlignment="1">
      <alignment horizontal="center" vertical="center"/>
    </xf>
    <xf numFmtId="0" fontId="17" fillId="0" borderId="22" xfId="0" applyFont="1" applyBorder="1" applyAlignment="1">
      <alignment horizontal="left" vertical="center"/>
    </xf>
    <xf numFmtId="175" fontId="17" fillId="0" borderId="22" xfId="0" applyNumberFormat="1" applyFont="1" applyBorder="1" applyAlignment="1">
      <alignment horizontal="center" vertical="center"/>
    </xf>
    <xf numFmtId="170" fontId="0" fillId="0" borderId="9" xfId="0" applyNumberFormat="1" applyBorder="1" applyAlignment="1">
      <alignment horizontal="center" vertical="center"/>
    </xf>
    <xf numFmtId="168" fontId="0" fillId="0" borderId="9" xfId="0" applyNumberFormat="1" applyBorder="1" applyAlignment="1">
      <alignment horizontal="center" vertical="center"/>
    </xf>
    <xf numFmtId="3" fontId="13" fillId="3" borderId="20" xfId="0" applyNumberFormat="1" applyFont="1" applyFill="1" applyBorder="1" applyAlignment="1">
      <alignment horizontal="center" vertical="center"/>
    </xf>
    <xf numFmtId="4" fontId="13" fillId="3" borderId="20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170" fontId="0" fillId="0" borderId="10" xfId="0" applyNumberFormat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170" fontId="0" fillId="0" borderId="33" xfId="0" applyNumberFormat="1" applyBorder="1" applyAlignment="1">
      <alignment horizontal="center" vertical="center"/>
    </xf>
    <xf numFmtId="168" fontId="0" fillId="0" borderId="33" xfId="0" applyNumberFormat="1" applyBorder="1" applyAlignment="1">
      <alignment horizontal="center" vertical="center"/>
    </xf>
    <xf numFmtId="0" fontId="26" fillId="0" borderId="33" xfId="0" applyFont="1" applyBorder="1" applyAlignment="1">
      <alignment vertical="center"/>
    </xf>
    <xf numFmtId="2" fontId="26" fillId="0" borderId="9" xfId="0" applyNumberFormat="1" applyFont="1" applyBorder="1" applyAlignment="1">
      <alignment vertical="center"/>
    </xf>
    <xf numFmtId="2" fontId="26" fillId="0" borderId="10" xfId="0" applyNumberFormat="1" applyFont="1" applyBorder="1" applyAlignment="1">
      <alignment vertical="center"/>
    </xf>
    <xf numFmtId="2" fontId="26" fillId="0" borderId="33" xfId="0" applyNumberFormat="1" applyFont="1" applyBorder="1" applyAlignment="1">
      <alignment vertical="center"/>
    </xf>
    <xf numFmtId="2" fontId="28" fillId="0" borderId="9" xfId="0" applyNumberFormat="1" applyFont="1" applyBorder="1" applyAlignment="1">
      <alignment horizontal="left" vertical="center"/>
    </xf>
    <xf numFmtId="2" fontId="28" fillId="0" borderId="10" xfId="0" applyNumberFormat="1" applyFont="1" applyBorder="1" applyAlignment="1">
      <alignment horizontal="left" vertical="center"/>
    </xf>
    <xf numFmtId="2" fontId="28" fillId="0" borderId="33" xfId="0" applyNumberFormat="1" applyFont="1" applyBorder="1" applyAlignment="1">
      <alignment horizontal="left" vertical="center"/>
    </xf>
    <xf numFmtId="2" fontId="28" fillId="0" borderId="9" xfId="0" applyNumberFormat="1" applyFont="1" applyBorder="1" applyAlignment="1">
      <alignment horizontal="center" vertical="center"/>
    </xf>
    <xf numFmtId="2" fontId="28" fillId="0" borderId="10" xfId="0" applyNumberFormat="1" applyFont="1" applyBorder="1" applyAlignment="1">
      <alignment horizontal="center" vertical="center"/>
    </xf>
    <xf numFmtId="2" fontId="28" fillId="0" borderId="33" xfId="0" applyNumberFormat="1" applyFont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0" borderId="9" xfId="0" applyBorder="1" applyAlignment="1">
      <alignment horizontal="left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4" fontId="16" fillId="8" borderId="6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vertical="center"/>
    </xf>
    <xf numFmtId="2" fontId="0" fillId="0" borderId="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6" fillId="4" borderId="6" xfId="0" applyFont="1" applyFill="1" applyBorder="1" applyAlignment="1">
      <alignment vertical="center"/>
    </xf>
    <xf numFmtId="2" fontId="16" fillId="4" borderId="6" xfId="0" applyNumberFormat="1" applyFont="1" applyFill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168" fontId="26" fillId="0" borderId="22" xfId="0" applyNumberFormat="1" applyFont="1" applyBorder="1" applyAlignment="1">
      <alignment vertical="center"/>
    </xf>
    <xf numFmtId="168" fontId="26" fillId="0" borderId="31" xfId="0" applyNumberFormat="1" applyFont="1" applyBorder="1" applyAlignment="1">
      <alignment vertical="center"/>
    </xf>
    <xf numFmtId="168" fontId="26" fillId="0" borderId="11" xfId="0" applyNumberFormat="1" applyFont="1" applyBorder="1" applyAlignment="1">
      <alignment vertical="center"/>
    </xf>
    <xf numFmtId="168" fontId="25" fillId="8" borderId="13" xfId="0" applyNumberFormat="1" applyFont="1" applyFill="1" applyBorder="1" applyAlignment="1">
      <alignment vertical="center"/>
    </xf>
    <xf numFmtId="0" fontId="0" fillId="0" borderId="26" xfId="0" applyBorder="1" applyAlignment="1">
      <alignment horizontal="left" vertical="center"/>
    </xf>
    <xf numFmtId="9" fontId="0" fillId="0" borderId="9" xfId="1" applyFont="1" applyFill="1" applyBorder="1" applyAlignment="1" applyProtection="1">
      <alignment horizontal="center" vertical="center"/>
    </xf>
    <xf numFmtId="9" fontId="0" fillId="0" borderId="10" xfId="1" applyFont="1" applyFill="1" applyBorder="1" applyAlignment="1" applyProtection="1">
      <alignment horizontal="center" vertical="center"/>
    </xf>
    <xf numFmtId="9" fontId="0" fillId="0" borderId="33" xfId="1" applyFont="1" applyFill="1" applyBorder="1" applyAlignment="1" applyProtection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0" fontId="15" fillId="0" borderId="9" xfId="1" applyNumberFormat="1" applyFill="1" applyBorder="1"/>
    <xf numFmtId="10" fontId="15" fillId="0" borderId="10" xfId="1" applyNumberFormat="1" applyFill="1" applyBorder="1" applyProtection="1"/>
    <xf numFmtId="10" fontId="0" fillId="0" borderId="10" xfId="1" applyNumberFormat="1" applyFont="1" applyFill="1" applyBorder="1" applyProtection="1"/>
    <xf numFmtId="10" fontId="24" fillId="0" borderId="10" xfId="1" applyNumberFormat="1" applyFont="1" applyFill="1" applyBorder="1" applyProtection="1"/>
    <xf numFmtId="10" fontId="15" fillId="0" borderId="33" xfId="1" applyNumberFormat="1" applyFill="1" applyBorder="1"/>
    <xf numFmtId="4" fontId="16" fillId="8" borderId="6" xfId="0" applyNumberFormat="1" applyFont="1" applyFill="1" applyBorder="1" applyAlignment="1">
      <alignment vertical="center"/>
    </xf>
    <xf numFmtId="2" fontId="27" fillId="8" borderId="33" xfId="0" applyNumberFormat="1" applyFont="1" applyFill="1" applyBorder="1" applyAlignment="1">
      <alignment horizontal="left" vertical="center"/>
    </xf>
    <xf numFmtId="2" fontId="27" fillId="8" borderId="33" xfId="0" applyNumberFormat="1" applyFont="1" applyFill="1" applyBorder="1" applyAlignment="1">
      <alignment horizontal="center" vertical="center"/>
    </xf>
    <xf numFmtId="173" fontId="36" fillId="0" borderId="7" xfId="0" applyNumberFormat="1" applyFont="1" applyBorder="1" applyAlignment="1">
      <alignment horizontal="center" vertical="center"/>
    </xf>
    <xf numFmtId="173" fontId="36" fillId="0" borderId="11" xfId="0" applyNumberFormat="1" applyFont="1" applyBorder="1" applyAlignment="1">
      <alignment horizontal="center" vertical="center"/>
    </xf>
    <xf numFmtId="173" fontId="36" fillId="0" borderId="22" xfId="0" applyNumberFormat="1" applyFont="1" applyBorder="1" applyAlignment="1">
      <alignment horizontal="center" vertical="center"/>
    </xf>
    <xf numFmtId="168" fontId="36" fillId="0" borderId="7" xfId="0" applyNumberFormat="1" applyFont="1" applyBorder="1" applyAlignment="1">
      <alignment horizontal="center" vertical="center"/>
    </xf>
    <xf numFmtId="168" fontId="36" fillId="0" borderId="11" xfId="0" applyNumberFormat="1" applyFont="1" applyBorder="1" applyAlignment="1">
      <alignment horizontal="center" vertical="center"/>
    </xf>
    <xf numFmtId="168" fontId="36" fillId="0" borderId="22" xfId="0" applyNumberFormat="1" applyFont="1" applyBorder="1" applyAlignment="1">
      <alignment horizontal="center" vertical="center"/>
    </xf>
    <xf numFmtId="170" fontId="41" fillId="4" borderId="6" xfId="0" applyNumberFormat="1" applyFont="1" applyFill="1" applyBorder="1" applyAlignment="1">
      <alignment horizontal="center" vertical="center"/>
    </xf>
    <xf numFmtId="175" fontId="37" fillId="0" borderId="7" xfId="0" applyNumberFormat="1" applyFont="1" applyBorder="1" applyAlignment="1">
      <alignment horizontal="center" vertical="center"/>
    </xf>
    <xf numFmtId="175" fontId="37" fillId="0" borderId="11" xfId="0" applyNumberFormat="1" applyFont="1" applyBorder="1" applyAlignment="1">
      <alignment horizontal="center" vertical="center"/>
    </xf>
    <xf numFmtId="175" fontId="37" fillId="0" borderId="22" xfId="0" applyNumberFormat="1" applyFont="1" applyBorder="1" applyAlignment="1">
      <alignment horizontal="center" vertical="center"/>
    </xf>
    <xf numFmtId="175" fontId="41" fillId="4" borderId="6" xfId="0" applyNumberFormat="1" applyFont="1" applyFill="1" applyBorder="1" applyAlignment="1">
      <alignment horizontal="center" vertical="center"/>
    </xf>
    <xf numFmtId="43" fontId="17" fillId="0" borderId="7" xfId="27" applyFont="1" applyFill="1" applyBorder="1" applyAlignment="1">
      <alignment horizontal="center" vertical="center"/>
    </xf>
    <xf numFmtId="43" fontId="17" fillId="0" borderId="11" xfId="27" applyFont="1" applyFill="1" applyBorder="1" applyAlignment="1">
      <alignment horizontal="center" vertical="center"/>
    </xf>
    <xf numFmtId="43" fontId="17" fillId="0" borderId="22" xfId="27" applyFont="1" applyFill="1" applyBorder="1" applyAlignment="1">
      <alignment horizontal="center" vertical="center"/>
    </xf>
    <xf numFmtId="43" fontId="0" fillId="0" borderId="0" xfId="0" applyNumberFormat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176" fontId="0" fillId="0" borderId="0" xfId="27" applyNumberFormat="1" applyFont="1" applyAlignment="1">
      <alignment vertical="center"/>
    </xf>
    <xf numFmtId="176" fontId="17" fillId="0" borderId="7" xfId="27" applyNumberFormat="1" applyFont="1" applyFill="1" applyBorder="1" applyAlignment="1">
      <alignment horizontal="center" vertical="center"/>
    </xf>
    <xf numFmtId="176" fontId="17" fillId="0" borderId="11" xfId="27" applyNumberFormat="1" applyFont="1" applyFill="1" applyBorder="1" applyAlignment="1">
      <alignment horizontal="center" vertical="center"/>
    </xf>
    <xf numFmtId="176" fontId="17" fillId="0" borderId="22" xfId="27" applyNumberFormat="1" applyFont="1" applyFill="1" applyBorder="1" applyAlignment="1">
      <alignment horizontal="center" vertical="center"/>
    </xf>
    <xf numFmtId="177" fontId="0" fillId="0" borderId="0" xfId="27" applyNumberFormat="1" applyFont="1" applyAlignment="1">
      <alignment vertical="center"/>
    </xf>
    <xf numFmtId="4" fontId="44" fillId="0" borderId="0" xfId="0" applyNumberFormat="1" applyFont="1"/>
    <xf numFmtId="0" fontId="0" fillId="9" borderId="0" xfId="27" applyNumberFormat="1" applyFont="1" applyFill="1" applyAlignment="1">
      <alignment vertical="center"/>
    </xf>
    <xf numFmtId="176" fontId="0" fillId="9" borderId="0" xfId="27" applyNumberFormat="1" applyFont="1" applyFill="1" applyBorder="1" applyAlignment="1">
      <alignment horizontal="right" vertical="center"/>
    </xf>
    <xf numFmtId="176" fontId="0" fillId="9" borderId="0" xfId="27" applyNumberFormat="1" applyFont="1" applyFill="1" applyAlignment="1">
      <alignment vertical="center"/>
    </xf>
    <xf numFmtId="178" fontId="0" fillId="0" borderId="0" xfId="27" applyNumberFormat="1" applyFont="1"/>
    <xf numFmtId="170" fontId="36" fillId="0" borderId="0" xfId="0" applyNumberFormat="1" applyFont="1" applyAlignment="1">
      <alignment horizontal="center" vertical="center"/>
    </xf>
    <xf numFmtId="174" fontId="36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9" fontId="15" fillId="0" borderId="0" xfId="1" applyFill="1" applyBorder="1"/>
    <xf numFmtId="175" fontId="0" fillId="0" borderId="0" xfId="0" applyNumberFormat="1" applyAlignment="1">
      <alignment vertical="center"/>
    </xf>
    <xf numFmtId="174" fontId="0" fillId="0" borderId="0" xfId="0" applyNumberFormat="1" applyAlignment="1">
      <alignment vertical="center"/>
    </xf>
    <xf numFmtId="177" fontId="15" fillId="0" borderId="0" xfId="27" applyNumberFormat="1"/>
    <xf numFmtId="170" fontId="0" fillId="0" borderId="0" xfId="0" applyNumberFormat="1" applyAlignment="1">
      <alignment vertical="center"/>
    </xf>
    <xf numFmtId="0" fontId="13" fillId="0" borderId="0" xfId="0" applyFont="1" applyAlignment="1">
      <alignment vertical="center"/>
    </xf>
    <xf numFmtId="0" fontId="13" fillId="4" borderId="6" xfId="0" applyFont="1" applyFill="1" applyBorder="1" applyAlignment="1">
      <alignment vertical="center"/>
    </xf>
    <xf numFmtId="164" fontId="0" fillId="0" borderId="0" xfId="0" applyNumberFormat="1" applyAlignment="1">
      <alignment vertical="center"/>
    </xf>
    <xf numFmtId="175" fontId="13" fillId="0" borderId="0" xfId="0" applyNumberFormat="1" applyFont="1" applyAlignment="1">
      <alignment vertical="center"/>
    </xf>
    <xf numFmtId="0" fontId="0" fillId="9" borderId="11" xfId="0" applyFill="1" applyBorder="1" applyAlignment="1">
      <alignment vertical="center"/>
    </xf>
    <xf numFmtId="2" fontId="0" fillId="9" borderId="11" xfId="0" applyNumberFormat="1" applyFill="1" applyBorder="1" applyAlignment="1">
      <alignment horizontal="center" vertical="center"/>
    </xf>
    <xf numFmtId="168" fontId="26" fillId="9" borderId="7" xfId="0" applyNumberFormat="1" applyFont="1" applyFill="1" applyBorder="1" applyAlignment="1">
      <alignment vertical="center"/>
    </xf>
    <xf numFmtId="0" fontId="45" fillId="0" borderId="11" xfId="0" applyFont="1" applyBorder="1" applyAlignment="1">
      <alignment vertical="center"/>
    </xf>
    <xf numFmtId="2" fontId="45" fillId="0" borderId="11" xfId="0" applyNumberFormat="1" applyFont="1" applyBorder="1" applyAlignment="1">
      <alignment horizontal="center" vertical="center"/>
    </xf>
    <xf numFmtId="0" fontId="45" fillId="0" borderId="0" xfId="0" applyFont="1" applyAlignment="1">
      <alignment vertical="center"/>
    </xf>
    <xf numFmtId="176" fontId="23" fillId="0" borderId="0" xfId="0" applyNumberFormat="1" applyFont="1" applyAlignment="1">
      <alignment horizontal="center" vertical="center"/>
    </xf>
    <xf numFmtId="176" fontId="37" fillId="0" borderId="0" xfId="0" applyNumberFormat="1" applyFont="1" applyAlignment="1">
      <alignment vertical="center"/>
    </xf>
    <xf numFmtId="170" fontId="37" fillId="0" borderId="0" xfId="0" applyNumberFormat="1" applyFont="1" applyAlignment="1">
      <alignment vertical="center"/>
    </xf>
    <xf numFmtId="176" fontId="24" fillId="0" borderId="0" xfId="27" applyNumberFormat="1" applyFont="1" applyFill="1" applyBorder="1" applyAlignment="1">
      <alignment horizontal="center" vertical="center"/>
    </xf>
    <xf numFmtId="4" fontId="0" fillId="10" borderId="0" xfId="0" applyNumberFormat="1" applyFill="1" applyAlignment="1">
      <alignment horizontal="center" vertical="center"/>
    </xf>
    <xf numFmtId="3" fontId="0" fillId="10" borderId="0" xfId="0" applyNumberFormat="1" applyFill="1" applyAlignment="1">
      <alignment vertical="center"/>
    </xf>
    <xf numFmtId="4" fontId="0" fillId="11" borderId="0" xfId="0" applyNumberFormat="1" applyFill="1" applyAlignment="1">
      <alignment horizontal="center" vertical="center"/>
    </xf>
    <xf numFmtId="3" fontId="0" fillId="11" borderId="0" xfId="0" applyNumberFormat="1" applyFill="1" applyAlignment="1">
      <alignment vertical="center"/>
    </xf>
    <xf numFmtId="4" fontId="0" fillId="9" borderId="0" xfId="0" applyNumberFormat="1" applyFill="1" applyAlignment="1">
      <alignment horizontal="center" vertical="center"/>
    </xf>
    <xf numFmtId="3" fontId="0" fillId="9" borderId="0" xfId="0" applyNumberFormat="1" applyFill="1" applyAlignment="1">
      <alignment vertical="center"/>
    </xf>
    <xf numFmtId="4" fontId="0" fillId="12" borderId="0" xfId="0" applyNumberFormat="1" applyFill="1" applyAlignment="1">
      <alignment horizontal="center" vertical="center"/>
    </xf>
    <xf numFmtId="3" fontId="0" fillId="12" borderId="0" xfId="0" applyNumberFormat="1" applyFill="1" applyAlignment="1">
      <alignment vertical="center"/>
    </xf>
    <xf numFmtId="4" fontId="0" fillId="13" borderId="0" xfId="0" applyNumberFormat="1" applyFill="1" applyAlignment="1">
      <alignment horizontal="center" vertical="center"/>
    </xf>
    <xf numFmtId="3" fontId="0" fillId="13" borderId="0" xfId="0" applyNumberFormat="1" applyFill="1" applyAlignment="1">
      <alignment vertical="center"/>
    </xf>
    <xf numFmtId="4" fontId="0" fillId="14" borderId="0" xfId="0" applyNumberFormat="1" applyFill="1" applyAlignment="1">
      <alignment horizontal="center" vertical="center"/>
    </xf>
    <xf numFmtId="3" fontId="0" fillId="14" borderId="0" xfId="0" applyNumberFormat="1" applyFill="1" applyAlignment="1">
      <alignment vertical="center"/>
    </xf>
    <xf numFmtId="4" fontId="0" fillId="15" borderId="0" xfId="0" applyNumberFormat="1" applyFill="1" applyAlignment="1">
      <alignment horizontal="center" vertical="center"/>
    </xf>
    <xf numFmtId="3" fontId="0" fillId="15" borderId="0" xfId="0" applyNumberFormat="1" applyFill="1" applyAlignment="1">
      <alignment vertical="center"/>
    </xf>
    <xf numFmtId="4" fontId="20" fillId="16" borderId="0" xfId="0" applyNumberFormat="1" applyFont="1" applyFill="1" applyAlignment="1">
      <alignment horizontal="center" vertical="center"/>
    </xf>
    <xf numFmtId="3" fontId="20" fillId="16" borderId="0" xfId="0" applyNumberFormat="1" applyFont="1" applyFill="1" applyAlignment="1">
      <alignment vertical="center"/>
    </xf>
    <xf numFmtId="4" fontId="24" fillId="17" borderId="0" xfId="0" applyNumberFormat="1" applyFont="1" applyFill="1" applyAlignment="1">
      <alignment horizontal="center" vertical="center"/>
    </xf>
    <xf numFmtId="3" fontId="24" fillId="17" borderId="0" xfId="0" applyNumberFormat="1" applyFont="1" applyFill="1" applyAlignment="1">
      <alignment vertical="center"/>
    </xf>
    <xf numFmtId="0" fontId="0" fillId="13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14" borderId="0" xfId="0" applyFill="1" applyAlignment="1">
      <alignment vertical="center"/>
    </xf>
    <xf numFmtId="170" fontId="0" fillId="13" borderId="0" xfId="0" applyNumberFormat="1" applyFill="1" applyAlignment="1">
      <alignment vertical="center"/>
    </xf>
    <xf numFmtId="170" fontId="0" fillId="9" borderId="0" xfId="0" applyNumberFormat="1" applyFill="1" applyAlignment="1">
      <alignment vertical="center"/>
    </xf>
    <xf numFmtId="0" fontId="0" fillId="7" borderId="0" xfId="0" applyFill="1" applyAlignment="1">
      <alignment vertical="center"/>
    </xf>
    <xf numFmtId="3" fontId="0" fillId="7" borderId="0" xfId="0" applyNumberFormat="1" applyFill="1" applyAlignment="1">
      <alignment vertical="center"/>
    </xf>
    <xf numFmtId="4" fontId="46" fillId="0" borderId="10" xfId="0" applyNumberFormat="1" applyFont="1" applyBorder="1" applyAlignment="1">
      <alignment horizontal="center" vertical="center"/>
    </xf>
    <xf numFmtId="4" fontId="46" fillId="0" borderId="11" xfId="0" applyNumberFormat="1" applyFont="1" applyBorder="1" applyAlignment="1">
      <alignment horizontal="center" vertical="center"/>
    </xf>
    <xf numFmtId="168" fontId="46" fillId="0" borderId="10" xfId="0" applyNumberFormat="1" applyFont="1" applyBorder="1" applyAlignment="1">
      <alignment horizontal="center" vertical="center"/>
    </xf>
    <xf numFmtId="9" fontId="46" fillId="0" borderId="0" xfId="1" applyFont="1"/>
    <xf numFmtId="0" fontId="24" fillId="0" borderId="0" xfId="0" applyFont="1" applyAlignment="1">
      <alignment vertical="center"/>
    </xf>
    <xf numFmtId="9" fontId="24" fillId="0" borderId="0" xfId="1" applyFont="1"/>
    <xf numFmtId="9" fontId="45" fillId="0" borderId="0" xfId="1" applyFont="1"/>
    <xf numFmtId="179" fontId="37" fillId="0" borderId="0" xfId="0" applyNumberFormat="1" applyFont="1" applyAlignment="1">
      <alignment vertical="center"/>
    </xf>
    <xf numFmtId="9" fontId="24" fillId="18" borderId="0" xfId="1" applyFont="1" applyFill="1"/>
    <xf numFmtId="9" fontId="24" fillId="14" borderId="0" xfId="1" applyFont="1" applyFill="1"/>
    <xf numFmtId="9" fontId="24" fillId="15" borderId="0" xfId="1" applyFont="1" applyFill="1"/>
    <xf numFmtId="9" fontId="15" fillId="14" borderId="0" xfId="1" applyFill="1"/>
    <xf numFmtId="9" fontId="15" fillId="9" borderId="0" xfId="1" applyFill="1"/>
    <xf numFmtId="9" fontId="15" fillId="13" borderId="0" xfId="1" applyFill="1"/>
    <xf numFmtId="9" fontId="15" fillId="12" borderId="0" xfId="1" applyFill="1"/>
    <xf numFmtId="9" fontId="35" fillId="14" borderId="0" xfId="1" applyFont="1" applyFill="1"/>
    <xf numFmtId="3" fontId="15" fillId="9" borderId="0" xfId="27" applyNumberFormat="1" applyFill="1" applyAlignment="1">
      <alignment vertical="center"/>
    </xf>
    <xf numFmtId="2" fontId="15" fillId="0" borderId="0" xfId="1" applyNumberFormat="1" applyFill="1" applyBorder="1"/>
    <xf numFmtId="3" fontId="0" fillId="0" borderId="0" xfId="0" applyNumberFormat="1"/>
    <xf numFmtId="180" fontId="0" fillId="0" borderId="0" xfId="0" applyNumberFormat="1" applyAlignment="1">
      <alignment vertical="center"/>
    </xf>
    <xf numFmtId="181" fontId="0" fillId="0" borderId="0" xfId="0" applyNumberFormat="1" applyAlignment="1">
      <alignment vertical="center"/>
    </xf>
    <xf numFmtId="0" fontId="23" fillId="2" borderId="0" xfId="0" applyFont="1" applyFill="1" applyAlignment="1">
      <alignment horizontal="center" vertical="center"/>
    </xf>
    <xf numFmtId="3" fontId="23" fillId="2" borderId="0" xfId="0" applyNumberFormat="1" applyFont="1" applyFill="1" applyAlignment="1">
      <alignment horizontal="center" vertical="center"/>
    </xf>
    <xf numFmtId="182" fontId="0" fillId="0" borderId="0" xfId="0" applyNumberFormat="1" applyAlignment="1">
      <alignment vertical="center"/>
    </xf>
    <xf numFmtId="9" fontId="0" fillId="19" borderId="0" xfId="0" applyNumberFormat="1" applyFill="1" applyAlignment="1">
      <alignment vertical="center"/>
    </xf>
    <xf numFmtId="3" fontId="0" fillId="0" borderId="0" xfId="0" applyNumberFormat="1" applyAlignment="1">
      <alignment horizontal="center" vertical="center"/>
    </xf>
    <xf numFmtId="0" fontId="15" fillId="0" borderId="0" xfId="1" applyNumberFormat="1"/>
    <xf numFmtId="3" fontId="13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 wrapText="1"/>
    </xf>
    <xf numFmtId="0" fontId="23" fillId="2" borderId="32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8" fillId="3" borderId="2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0" fontId="18" fillId="3" borderId="23" xfId="0" applyFont="1" applyFill="1" applyBorder="1" applyAlignment="1">
      <alignment horizontal="center" vertical="center" wrapText="1"/>
    </xf>
  </cellXfs>
  <cellStyles count="258"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Millares" xfId="27" builtinId="3"/>
    <cellStyle name="Normal" xfId="0" builtinId="0"/>
    <cellStyle name="Normal 10" xfId="18" xr:uid="{00000000-0005-0000-0000-0000E8000000}"/>
    <cellStyle name="Normal 11" xfId="20" xr:uid="{00000000-0005-0000-0000-0000E9000000}"/>
    <cellStyle name="Normal 12" xfId="22" xr:uid="{00000000-0005-0000-0000-0000EA000000}"/>
    <cellStyle name="Normal 13" xfId="24" xr:uid="{00000000-0005-0000-0000-0000EB000000}"/>
    <cellStyle name="Normal 14" xfId="26" xr:uid="{00000000-0005-0000-0000-0000EC000000}"/>
    <cellStyle name="Normal 2" xfId="2" xr:uid="{00000000-0005-0000-0000-0000ED000000}"/>
    <cellStyle name="Normal 3" xfId="4" xr:uid="{00000000-0005-0000-0000-0000EE000000}"/>
    <cellStyle name="Normal 4" xfId="6" xr:uid="{00000000-0005-0000-0000-0000EF000000}"/>
    <cellStyle name="Normal 5" xfId="8" xr:uid="{00000000-0005-0000-0000-0000F0000000}"/>
    <cellStyle name="Normal 6" xfId="10" xr:uid="{00000000-0005-0000-0000-0000F1000000}"/>
    <cellStyle name="Normal 7" xfId="12" xr:uid="{00000000-0005-0000-0000-0000F2000000}"/>
    <cellStyle name="Normal 8" xfId="14" xr:uid="{00000000-0005-0000-0000-0000F3000000}"/>
    <cellStyle name="Normal 9" xfId="16" xr:uid="{00000000-0005-0000-0000-0000F4000000}"/>
    <cellStyle name="Porcentagem 2" xfId="3" xr:uid="{00000000-0005-0000-0000-0000F6000000}"/>
    <cellStyle name="Porcentaje" xfId="1" builtinId="5"/>
    <cellStyle name="Vírgula 10" xfId="21" xr:uid="{00000000-0005-0000-0000-0000F7000000}"/>
    <cellStyle name="Vírgula 11" xfId="23" xr:uid="{00000000-0005-0000-0000-0000F8000000}"/>
    <cellStyle name="Vírgula 12" xfId="25" xr:uid="{00000000-0005-0000-0000-0000F9000000}"/>
    <cellStyle name="Vírgula 2" xfId="5" xr:uid="{00000000-0005-0000-0000-0000FA000000}"/>
    <cellStyle name="Vírgula 3" xfId="7" xr:uid="{00000000-0005-0000-0000-0000FB000000}"/>
    <cellStyle name="Vírgula 4" xfId="9" xr:uid="{00000000-0005-0000-0000-0000FC000000}"/>
    <cellStyle name="Vírgula 5" xfId="11" xr:uid="{00000000-0005-0000-0000-0000FD000000}"/>
    <cellStyle name="Vírgula 6" xfId="13" xr:uid="{00000000-0005-0000-0000-0000FE000000}"/>
    <cellStyle name="Vírgula 7" xfId="15" xr:uid="{00000000-0005-0000-0000-0000FF000000}"/>
    <cellStyle name="Vírgula 8" xfId="17" xr:uid="{00000000-0005-0000-0000-000000010000}"/>
    <cellStyle name="Vírgula 9" xfId="19" xr:uid="{00000000-0005-0000-0000-000001010000}"/>
  </cellStyles>
  <dxfs count="2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CD5B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276C8"/>
      <color rgb="FFDF1B1B"/>
      <color rgb="FFEE0C0C"/>
      <color rgb="FFF17D7D"/>
      <color rgb="FFCC3300"/>
      <color rgb="FFF75757"/>
      <color rgb="FF9E3A38"/>
      <color rgb="FF522C2C"/>
      <color rgb="FF2A62A6"/>
      <color rgb="FF1422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8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7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125940</xdr:colOff>
      <xdr:row>3</xdr:row>
      <xdr:rowOff>113242</xdr:rowOff>
    </xdr:from>
    <xdr:to>
      <xdr:col>3</xdr:col>
      <xdr:colOff>359440</xdr:colOff>
      <xdr:row>7</xdr:row>
      <xdr:rowOff>48065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190" y="600075"/>
          <a:ext cx="1440000" cy="5698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3</xdr:row>
      <xdr:rowOff>38100</xdr:rowOff>
    </xdr:from>
    <xdr:to>
      <xdr:col>3</xdr:col>
      <xdr:colOff>333375</xdr:colOff>
      <xdr:row>7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619125"/>
          <a:ext cx="1438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</xdr:row>
      <xdr:rowOff>114300</xdr:rowOff>
    </xdr:from>
    <xdr:to>
      <xdr:col>3</xdr:col>
      <xdr:colOff>385233</xdr:colOff>
      <xdr:row>7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695325"/>
          <a:ext cx="14287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133349</xdr:colOff>
      <xdr:row>3</xdr:row>
      <xdr:rowOff>114298</xdr:rowOff>
    </xdr:from>
    <xdr:to>
      <xdr:col>3</xdr:col>
      <xdr:colOff>38306</xdr:colOff>
      <xdr:row>7</xdr:row>
      <xdr:rowOff>5764</xdr:rowOff>
    </xdr:to>
    <xdr:pic>
      <xdr:nvPicPr>
        <xdr:cNvPr id="3214" name="Imagem 1">
          <a:extLst>
            <a:ext uri="{FF2B5EF4-FFF2-40B4-BE49-F238E27FC236}">
              <a16:creationId xmlns:a16="http://schemas.microsoft.com/office/drawing/2014/main" id="{00000000-0008-0000-0B00-00008E0C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599" y="601131"/>
          <a:ext cx="143954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131233</xdr:colOff>
      <xdr:row>3</xdr:row>
      <xdr:rowOff>120649</xdr:rowOff>
    </xdr:from>
    <xdr:to>
      <xdr:col>2</xdr:col>
      <xdr:colOff>1348983</xdr:colOff>
      <xdr:row>6</xdr:row>
      <xdr:rowOff>54449</xdr:rowOff>
    </xdr:to>
    <xdr:pic>
      <xdr:nvPicPr>
        <xdr:cNvPr id="11364" name="Imagem 1">
          <a:extLst>
            <a:ext uri="{FF2B5EF4-FFF2-40B4-BE49-F238E27FC236}">
              <a16:creationId xmlns:a16="http://schemas.microsoft.com/office/drawing/2014/main" id="{00000000-0008-0000-0C00-0000642C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483" y="607482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135466</xdr:colOff>
      <xdr:row>3</xdr:row>
      <xdr:rowOff>115358</xdr:rowOff>
    </xdr:from>
    <xdr:to>
      <xdr:col>2</xdr:col>
      <xdr:colOff>1343808</xdr:colOff>
      <xdr:row>7</xdr:row>
      <xdr:rowOff>49158</xdr:rowOff>
    </xdr:to>
    <xdr:pic>
      <xdr:nvPicPr>
        <xdr:cNvPr id="4248" name="Imagem 1">
          <a:extLst>
            <a:ext uri="{FF2B5EF4-FFF2-40B4-BE49-F238E27FC236}">
              <a16:creationId xmlns:a16="http://schemas.microsoft.com/office/drawing/2014/main" id="{00000000-0008-0000-0D00-0000981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6" y="602191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167054</xdr:colOff>
      <xdr:row>3</xdr:row>
      <xdr:rowOff>117475</xdr:rowOff>
    </xdr:from>
    <xdr:to>
      <xdr:col>2</xdr:col>
      <xdr:colOff>1386589</xdr:colOff>
      <xdr:row>7</xdr:row>
      <xdr:rowOff>51275</xdr:rowOff>
    </xdr:to>
    <xdr:pic>
      <xdr:nvPicPr>
        <xdr:cNvPr id="12390" name="Imagem 1">
          <a:extLst>
            <a:ext uri="{FF2B5EF4-FFF2-40B4-BE49-F238E27FC236}">
              <a16:creationId xmlns:a16="http://schemas.microsoft.com/office/drawing/2014/main" id="{00000000-0008-0000-0E00-0000663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304" y="604308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143932</xdr:colOff>
      <xdr:row>3</xdr:row>
      <xdr:rowOff>122767</xdr:rowOff>
    </xdr:from>
    <xdr:to>
      <xdr:col>2</xdr:col>
      <xdr:colOff>1352274</xdr:colOff>
      <xdr:row>7</xdr:row>
      <xdr:rowOff>56567</xdr:rowOff>
    </xdr:to>
    <xdr:pic>
      <xdr:nvPicPr>
        <xdr:cNvPr id="13415" name="Imagem 1">
          <a:extLst>
            <a:ext uri="{FF2B5EF4-FFF2-40B4-BE49-F238E27FC236}">
              <a16:creationId xmlns:a16="http://schemas.microsoft.com/office/drawing/2014/main" id="{00000000-0008-0000-0F00-0000673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182" y="60960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123824</xdr:colOff>
      <xdr:row>3</xdr:row>
      <xdr:rowOff>114300</xdr:rowOff>
    </xdr:from>
    <xdr:to>
      <xdr:col>2</xdr:col>
      <xdr:colOff>849449</xdr:colOff>
      <xdr:row>7</xdr:row>
      <xdr:rowOff>35400</xdr:rowOff>
    </xdr:to>
    <xdr:pic>
      <xdr:nvPicPr>
        <xdr:cNvPr id="2178" name="Imagem 1">
          <a:extLst>
            <a:ext uri="{FF2B5EF4-FFF2-40B4-BE49-F238E27FC236}">
              <a16:creationId xmlns:a16="http://schemas.microsoft.com/office/drawing/2014/main" id="{00000000-0008-0000-1000-0000820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99" y="60960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3857625</xdr:colOff>
      <xdr:row>11</xdr:row>
      <xdr:rowOff>57150</xdr:rowOff>
    </xdr:from>
    <xdr:to>
      <xdr:col>3</xdr:col>
      <xdr:colOff>4276725</xdr:colOff>
      <xdr:row>11</xdr:row>
      <xdr:rowOff>209550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/>
      </xdr:nvSpPr>
      <xdr:spPr bwMode="auto">
        <a:xfrm>
          <a:off x="4791075" y="1933575"/>
          <a:ext cx="419100" cy="1524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w="63500"/>
        </a:sp3d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3</xdr:row>
      <xdr:rowOff>104775</xdr:rowOff>
    </xdr:from>
    <xdr:to>
      <xdr:col>2</xdr:col>
      <xdr:colOff>1278075</xdr:colOff>
      <xdr:row>7</xdr:row>
      <xdr:rowOff>25875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600075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133738</xdr:colOff>
      <xdr:row>3</xdr:row>
      <xdr:rowOff>143652</xdr:rowOff>
    </xdr:from>
    <xdr:to>
      <xdr:col>2</xdr:col>
      <xdr:colOff>1340473</xdr:colOff>
      <xdr:row>7</xdr:row>
      <xdr:rowOff>51533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284" y="64906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136524</xdr:colOff>
      <xdr:row>3</xdr:row>
      <xdr:rowOff>123824</xdr:rowOff>
    </xdr:from>
    <xdr:to>
      <xdr:col>3</xdr:col>
      <xdr:colOff>168941</xdr:colOff>
      <xdr:row>7</xdr:row>
      <xdr:rowOff>58647</xdr:rowOff>
    </xdr:to>
    <xdr:pic>
      <xdr:nvPicPr>
        <xdr:cNvPr id="1179" name="Imagem 1">
          <a:extLst>
            <a:ext uri="{FF2B5EF4-FFF2-40B4-BE49-F238E27FC236}">
              <a16:creationId xmlns:a16="http://schemas.microsoft.com/office/drawing/2014/main" id="{00000000-0008-0000-0100-00009B0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774" y="631824"/>
          <a:ext cx="1440000" cy="5698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161924</xdr:colOff>
      <xdr:row>3</xdr:row>
      <xdr:rowOff>133350</xdr:rowOff>
    </xdr:from>
    <xdr:to>
      <xdr:col>2</xdr:col>
      <xdr:colOff>1220924</xdr:colOff>
      <xdr:row>7</xdr:row>
      <xdr:rowOff>54450</xdr:rowOff>
    </xdr:to>
    <xdr:pic>
      <xdr:nvPicPr>
        <xdr:cNvPr id="5249" name="Imagem 1">
          <a:extLst>
            <a:ext uri="{FF2B5EF4-FFF2-40B4-BE49-F238E27FC236}">
              <a16:creationId xmlns:a16="http://schemas.microsoft.com/office/drawing/2014/main" id="{00000000-0008-0000-1300-0000811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9" y="62865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3</xdr:row>
      <xdr:rowOff>133350</xdr:rowOff>
    </xdr:from>
    <xdr:to>
      <xdr:col>2</xdr:col>
      <xdr:colOff>1201875</xdr:colOff>
      <xdr:row>7</xdr:row>
      <xdr:rowOff>54450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2865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3</xdr:row>
      <xdr:rowOff>133350</xdr:rowOff>
    </xdr:from>
    <xdr:to>
      <xdr:col>2</xdr:col>
      <xdr:colOff>1220925</xdr:colOff>
      <xdr:row>7</xdr:row>
      <xdr:rowOff>54450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62865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3</xdr:row>
      <xdr:rowOff>142875</xdr:rowOff>
    </xdr:from>
    <xdr:to>
      <xdr:col>2</xdr:col>
      <xdr:colOff>1201875</xdr:colOff>
      <xdr:row>7</xdr:row>
      <xdr:rowOff>63975</xdr:rowOff>
    </xdr:to>
    <xdr:pic>
      <xdr:nvPicPr>
        <xdr:cNvPr id="8298" name="Imagem 1">
          <a:extLst>
            <a:ext uri="{FF2B5EF4-FFF2-40B4-BE49-F238E27FC236}">
              <a16:creationId xmlns:a16="http://schemas.microsoft.com/office/drawing/2014/main" id="{00000000-0008-0000-1600-00006A2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38175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</xdr:row>
      <xdr:rowOff>133350</xdr:rowOff>
    </xdr:from>
    <xdr:to>
      <xdr:col>2</xdr:col>
      <xdr:colOff>1192350</xdr:colOff>
      <xdr:row>7</xdr:row>
      <xdr:rowOff>54450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2865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3</xdr:row>
      <xdr:rowOff>114300</xdr:rowOff>
    </xdr:from>
    <xdr:to>
      <xdr:col>2</xdr:col>
      <xdr:colOff>1182825</xdr:colOff>
      <xdr:row>7</xdr:row>
      <xdr:rowOff>35400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60960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136524</xdr:colOff>
      <xdr:row>3</xdr:row>
      <xdr:rowOff>102658</xdr:rowOff>
    </xdr:from>
    <xdr:to>
      <xdr:col>3</xdr:col>
      <xdr:colOff>370024</xdr:colOff>
      <xdr:row>7</xdr:row>
      <xdr:rowOff>37481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774" y="589491"/>
          <a:ext cx="1440000" cy="5698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3</xdr:row>
      <xdr:rowOff>121707</xdr:rowOff>
    </xdr:from>
    <xdr:to>
      <xdr:col>3</xdr:col>
      <xdr:colOff>434583</xdr:colOff>
      <xdr:row>7</xdr:row>
      <xdr:rowOff>55507</xdr:rowOff>
    </xdr:to>
    <xdr:pic>
      <xdr:nvPicPr>
        <xdr:cNvPr id="10341" name="Imagem 1">
          <a:extLst>
            <a:ext uri="{FF2B5EF4-FFF2-40B4-BE49-F238E27FC236}">
              <a16:creationId xmlns:a16="http://schemas.microsoft.com/office/drawing/2014/main" id="{00000000-0008-0000-0300-0000652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0" y="60854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137932</xdr:colOff>
      <xdr:row>3</xdr:row>
      <xdr:rowOff>111589</xdr:rowOff>
    </xdr:from>
    <xdr:to>
      <xdr:col>2</xdr:col>
      <xdr:colOff>1358125</xdr:colOff>
      <xdr:row>6</xdr:row>
      <xdr:rowOff>115868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40" y="593073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</xdr:row>
      <xdr:rowOff>114300</xdr:rowOff>
    </xdr:from>
    <xdr:to>
      <xdr:col>3</xdr:col>
      <xdr:colOff>342900</xdr:colOff>
      <xdr:row>7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695325"/>
          <a:ext cx="14287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</xdr:row>
      <xdr:rowOff>114300</xdr:rowOff>
    </xdr:from>
    <xdr:to>
      <xdr:col>2</xdr:col>
      <xdr:colOff>1095375</xdr:colOff>
      <xdr:row>7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695325"/>
          <a:ext cx="1447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3</xdr:row>
      <xdr:rowOff>47625</xdr:rowOff>
    </xdr:from>
    <xdr:to>
      <xdr:col>4</xdr:col>
      <xdr:colOff>247650</xdr:colOff>
      <xdr:row>7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628650"/>
          <a:ext cx="1447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</xdr:row>
      <xdr:rowOff>57150</xdr:rowOff>
    </xdr:from>
    <xdr:to>
      <xdr:col>2</xdr:col>
      <xdr:colOff>963084</xdr:colOff>
      <xdr:row>7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638175"/>
          <a:ext cx="14478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morgan/Google%20Drive/PhD/Brazil/Income%20distribution/WID/Data/Tabulations_surveys/PNAD2013_tab6_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morgan/Google%20Drive/PhD/Brazil/Income%20distribution/WID/Fiscal%20distribu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morgan/Dropbox/Brazil_MMorgan/Data/DIRPF_2007-2014/gn-irpf-ac-20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morgan/Google%20Drive/PhD/Brazil/Income%20distribution/WID/Data/DIRPF_2007-2016/gn-irpf-ac-200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morgan/Google%20Drive/PhD/Brazil/Income%20distribution/WID/Data/DIRPF_2007-2016/gn-irpf-ac-200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morgan/Google%20Drive/PhD/Brazil/Income%20distribution/WID/Data/DIRPF_2007-2016/gn-irpf-ac-200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morgan/Google%20Drive/PhD/Brazil/Income%20distribution/WID/Data/DIRPF_2007-2016/gn-irpf-ac-201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morgan/Google%20Drive/PhD/Brazil/Income%20distribution/WID/Data/DIRPF_2007-2016/gn-irpf-ac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morgan/Google%20Drive/PhD/Brazil/Income%20distribution/WID/Data/DIRPF_2007-2016/gn-irpf-ac-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a 6.2"/>
    </sheetNames>
    <sheetDataSet>
      <sheetData sheetId="0">
        <row r="41">
          <cell r="J41">
            <v>0.24952015436023062</v>
          </cell>
        </row>
        <row r="42">
          <cell r="J42">
            <v>0.30259496985855078</v>
          </cell>
        </row>
        <row r="43">
          <cell r="J43">
            <v>0.31597051711526186</v>
          </cell>
        </row>
        <row r="44">
          <cell r="J44">
            <v>0.36270081657721487</v>
          </cell>
        </row>
        <row r="45">
          <cell r="J45">
            <v>0.37959055059648766</v>
          </cell>
        </row>
        <row r="46">
          <cell r="J46">
            <v>0.38885036842730075</v>
          </cell>
        </row>
        <row r="47">
          <cell r="J47">
            <v>0.40338662979911244</v>
          </cell>
        </row>
        <row r="48">
          <cell r="J48">
            <v>0.41391281040326483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7-2015 PNAD thresholds"/>
      <sheetName val="2007-2015 DIRPF thresholds"/>
      <sheetName val="2001-2015 PNAD avginc"/>
      <sheetName val="2001-2015 PNAD avginctaxable"/>
      <sheetName val="2001-2015 shares_raw"/>
      <sheetName val="2007-2015 DIRPF avginc"/>
      <sheetName val="2007-2015 DIRPF avginctaxable"/>
      <sheetName val="2001-2015 taxinc_corr"/>
      <sheetName val="2007-2015 upgrade factors_q(p)"/>
      <sheetName val="2007-2015 upgrade factors_y(p)"/>
      <sheetName val="2001-2015 thresholds_corr"/>
      <sheetName val="2001-2015 avginc_corrP90"/>
      <sheetName val="2001-2015 totinc_corrected"/>
      <sheetName val="2001-2015 shares_correctedP90"/>
      <sheetName val="2001-2015 shares_corrP90 v raw"/>
      <sheetName val="Pareto curves"/>
      <sheetName val="Comparisons"/>
      <sheetName val="2015 income thresholds_shares"/>
      <sheetName val="Income growth rates"/>
      <sheetName val="Compar_surveys_fiscal_NA"/>
      <sheetName val="Compar_realmeanincomes"/>
      <sheetName val="Compar_Medeiros et al."/>
      <sheetName val="Fiscal income_NA"/>
      <sheetName val="Fiscal income_DIRPF"/>
      <sheetName val="National income components"/>
      <sheetName val="CFC"/>
      <sheetName val="Financial account"/>
      <sheetName val="2001-2015 PNAD avginctaxable1"/>
      <sheetName val="Gini"/>
      <sheetName val="2001-2015 avginc_corr"/>
      <sheetName val="2001-2015 shares_corrected"/>
      <sheetName val="2001-2015 shares_corr v raw"/>
    </sheetNames>
    <sheetDataSet>
      <sheetData sheetId="0"/>
      <sheetData sheetId="1"/>
      <sheetData sheetId="2">
        <row r="3">
          <cell r="B3">
            <v>695214277070.39514</v>
          </cell>
        </row>
      </sheetData>
      <sheetData sheetId="3"/>
      <sheetData sheetId="4" refreshError="1"/>
      <sheetData sheetId="5"/>
      <sheetData sheetId="6"/>
      <sheetData sheetId="7">
        <row r="3">
          <cell r="DI3">
            <v>0.14581219621037456</v>
          </cell>
        </row>
      </sheetData>
      <sheetData sheetId="8"/>
      <sheetData sheetId="9"/>
      <sheetData sheetId="10"/>
      <sheetData sheetId="11">
        <row r="3">
          <cell r="C3">
            <v>7734.2535022641769</v>
          </cell>
        </row>
      </sheetData>
      <sheetData sheetId="12">
        <row r="16">
          <cell r="D16">
            <v>139013296</v>
          </cell>
        </row>
      </sheetData>
      <sheetData sheetId="13"/>
      <sheetData sheetId="14">
        <row r="3">
          <cell r="C3">
            <v>0.12540620719929382</v>
          </cell>
        </row>
      </sheetData>
      <sheetData sheetId="15"/>
      <sheetData sheetId="16"/>
      <sheetData sheetId="17"/>
      <sheetData sheetId="18"/>
      <sheetData sheetId="19">
        <row r="9">
          <cell r="F9">
            <v>695214.27707039518</v>
          </cell>
        </row>
      </sheetData>
      <sheetData sheetId="20" refreshError="1"/>
      <sheetData sheetId="21"/>
      <sheetData sheetId="22">
        <row r="6">
          <cell r="K6">
            <v>96279</v>
          </cell>
        </row>
      </sheetData>
      <sheetData sheetId="23">
        <row r="6">
          <cell r="E6">
            <v>29382.749071942948</v>
          </cell>
        </row>
        <row r="12">
          <cell r="E12">
            <v>109888.49765764068</v>
          </cell>
          <cell r="G12">
            <v>172903.28453948101</v>
          </cell>
        </row>
      </sheetData>
      <sheetData sheetId="24">
        <row r="9">
          <cell r="B9">
            <v>1113378.7684934987</v>
          </cell>
        </row>
      </sheetData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1_T1"/>
      <sheetName val="P2_T2"/>
      <sheetName val="P3_T3_gender"/>
      <sheetName val="P4_P5_T4_age"/>
      <sheetName val="P6_P7_T5"/>
      <sheetName val="P8_P9_T6"/>
      <sheetName val="P10_P11_T7"/>
      <sheetName val="P12_P13_T8"/>
      <sheetName val="P14_P15_T9_gross total income"/>
      <sheetName val="P16_P17_T10"/>
      <sheetName val="P18_T11"/>
      <sheetName val="P19-26_T12"/>
      <sheetName val="P27_40_T13"/>
      <sheetName val="P41_T14"/>
      <sheetName val="P42_T14"/>
      <sheetName val="P43_T14"/>
      <sheetName val="P44_T15"/>
      <sheetName val="P45_T16"/>
      <sheetName val="P46_T17"/>
      <sheetName val="P47_T18"/>
      <sheetName val="P48_T19_taxed excl "/>
      <sheetName val="P49_T20_nontaxable"/>
      <sheetName val="P50_T21"/>
      <sheetName val="P51_T22"/>
      <sheetName val="P52_T23"/>
    </sheetNames>
    <sheetDataSet>
      <sheetData sheetId="0" refreshError="1"/>
      <sheetData sheetId="1" refreshError="1"/>
      <sheetData sheetId="2">
        <row r="15">
          <cell r="D15">
            <v>11022806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2">
          <cell r="E12">
            <v>209.84126641999998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3">
          <cell r="D13">
            <v>632.17126170038</v>
          </cell>
        </row>
      </sheetData>
      <sheetData sheetId="17" refreshError="1"/>
      <sheetData sheetId="18" refreshError="1"/>
      <sheetData sheetId="19" refreshError="1"/>
      <sheetData sheetId="20">
        <row r="14">
          <cell r="D14">
            <v>67.151816832030008</v>
          </cell>
        </row>
        <row r="18">
          <cell r="D18">
            <v>10.920688785979999</v>
          </cell>
        </row>
        <row r="22">
          <cell r="D22">
            <v>0.15991347098</v>
          </cell>
        </row>
        <row r="23">
          <cell r="D23">
            <v>19.386580806400001</v>
          </cell>
        </row>
      </sheetData>
      <sheetData sheetId="21">
        <row r="13">
          <cell r="D13">
            <v>3.75260233762</v>
          </cell>
        </row>
      </sheetData>
      <sheetData sheetId="22">
        <row r="13">
          <cell r="G13">
            <v>2560027.1210099296</v>
          </cell>
        </row>
      </sheetData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1_T1"/>
      <sheetName val="P2_T2"/>
      <sheetName val="P3_T3"/>
      <sheetName val="P4_P5_T4"/>
      <sheetName val="P6_P7_T5"/>
      <sheetName val="P8_P9_T6"/>
      <sheetName val="P10_P11_T7"/>
      <sheetName val="P12_P13_T8"/>
      <sheetName val="P14_P15_T9"/>
      <sheetName val="P16_P17_T10"/>
      <sheetName val="P18_T11"/>
      <sheetName val="P19-26_T12"/>
      <sheetName val="P27_40_T13"/>
      <sheetName val="P41_T14"/>
      <sheetName val="P42_T14"/>
      <sheetName val="P43_T14"/>
      <sheetName val="P44_T15"/>
      <sheetName val="P45_T16"/>
      <sheetName val="P46_T17"/>
      <sheetName val="P47_T18"/>
      <sheetName val="P48_T19"/>
      <sheetName val="P49_T20"/>
      <sheetName val="P50_T21"/>
      <sheetName val="P51_T22"/>
      <sheetName val="P52_T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3">
          <cell r="E23">
            <v>696851.95743969001</v>
          </cell>
        </row>
        <row r="41">
          <cell r="H41">
            <v>2.3163351717267727E-2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1_T1"/>
      <sheetName val="P2_T2"/>
      <sheetName val="P3_T3"/>
      <sheetName val="P4_P5_T4"/>
      <sheetName val="P6_P7_T5"/>
      <sheetName val="P8_P9_T6"/>
      <sheetName val="P10_P11_T7"/>
      <sheetName val="P12_P13_T8"/>
      <sheetName val="P14_P15_T9"/>
      <sheetName val="P16_P17_T10"/>
      <sheetName val="P18_T11"/>
      <sheetName val="P19-26_T12"/>
      <sheetName val="P27_40_T13"/>
      <sheetName val="P41_T14"/>
      <sheetName val="P42_T14"/>
      <sheetName val="P43_T14"/>
      <sheetName val="P44_T15"/>
      <sheetName val="P45_T16"/>
      <sheetName val="P46_T17"/>
      <sheetName val="P47_T18"/>
      <sheetName val="P48_T19"/>
      <sheetName val="P49_T20"/>
      <sheetName val="P50_T21"/>
      <sheetName val="P51_T22"/>
      <sheetName val="P52_T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3">
          <cell r="E23">
            <v>786659.03853996005</v>
          </cell>
        </row>
        <row r="41">
          <cell r="H41">
            <v>3.8093030937236767E-2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1_T1"/>
      <sheetName val="P2_T2"/>
      <sheetName val="P3_T3"/>
      <sheetName val="P4_P5_T4"/>
      <sheetName val="P6_P7_T5"/>
      <sheetName val="P8_P9_T6"/>
      <sheetName val="P10_P11_T7"/>
      <sheetName val="P12_P13_T8"/>
      <sheetName val="P14_P15_T9"/>
      <sheetName val="P16_P17_T10"/>
      <sheetName val="P18_T11"/>
      <sheetName val="P19-26_T12"/>
      <sheetName val="P27_40_T13"/>
      <sheetName val="P41_T14"/>
      <sheetName val="P42_T14"/>
      <sheetName val="P43_T14"/>
      <sheetName val="P44_T15"/>
      <sheetName val="P45_T16"/>
      <sheetName val="P46_T17"/>
      <sheetName val="P47_T18"/>
      <sheetName val="P48_T19"/>
      <sheetName val="P49_T20"/>
      <sheetName val="P50_T21"/>
      <sheetName val="P51_T22"/>
      <sheetName val="P52_T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3">
          <cell r="E23">
            <v>854307.62822770001</v>
          </cell>
        </row>
        <row r="41">
          <cell r="H41">
            <v>3.4571886887433567E-2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1_T1"/>
      <sheetName val="P2_T2"/>
      <sheetName val="P3_T3"/>
      <sheetName val="P4_P5_T4"/>
      <sheetName val="P6_P7_T5"/>
      <sheetName val="P8_P9_T6"/>
      <sheetName val="P10_P11_T7"/>
      <sheetName val="P12_P13_T8"/>
      <sheetName val="P14_P15_T9"/>
      <sheetName val="P16_P17_T10"/>
      <sheetName val="P18_T11"/>
      <sheetName val="P19-26_T12"/>
      <sheetName val="P27_40_T13"/>
      <sheetName val="P41_T14"/>
      <sheetName val="P42_T14"/>
      <sheetName val="P43_T14"/>
      <sheetName val="P44_T15"/>
      <sheetName val="P45_T16"/>
      <sheetName val="P46_T17"/>
      <sheetName val="P48_T19"/>
      <sheetName val="P47_T18"/>
      <sheetName val="P49_T20"/>
      <sheetName val="P50_T21"/>
      <sheetName val="P51_T22"/>
      <sheetName val="P52_T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3">
          <cell r="E23">
            <v>942604.22862362012</v>
          </cell>
        </row>
        <row r="41">
          <cell r="I41">
            <v>4.1419240436250601E-2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1_T1"/>
      <sheetName val="P2_T2"/>
      <sheetName val="P3_T3"/>
      <sheetName val="P4_P5_T4"/>
      <sheetName val="P6_P7_T5"/>
      <sheetName val="P8_P9_T6"/>
      <sheetName val="P10_P11_T7"/>
      <sheetName val="P12_P13_T8"/>
      <sheetName val="P14_P15_T9"/>
      <sheetName val="P16_P17_T10"/>
      <sheetName val="P18_T11"/>
      <sheetName val="P19-26_T12"/>
      <sheetName val="P27_40_T13"/>
      <sheetName val="P41_T14"/>
      <sheetName val="P42_T14"/>
      <sheetName val="P43_T14"/>
      <sheetName val="P44_T15"/>
      <sheetName val="P45_T16"/>
      <sheetName val="P46_T17"/>
      <sheetName val="P47_T18"/>
      <sheetName val="P48_T19"/>
      <sheetName val="P49_T20"/>
      <sheetName val="P50_T21"/>
      <sheetName val="P51_T22"/>
      <sheetName val="P52_T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3">
          <cell r="E23">
            <v>1069927.57990017</v>
          </cell>
        </row>
        <row r="41">
          <cell r="I41">
            <v>3.9531216159877654E-2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1_T1"/>
      <sheetName val="P2_T2"/>
      <sheetName val="P3_T3"/>
      <sheetName val="P4_P5_T4"/>
      <sheetName val="P6_P7_T5"/>
      <sheetName val="P8_P9_T6"/>
      <sheetName val="P10_P11_T7"/>
      <sheetName val="P12_P13_T8"/>
      <sheetName val="P14_P15_T9"/>
      <sheetName val="P16_P17_T10"/>
      <sheetName val="P18_T11"/>
      <sheetName val="P19-26_T12"/>
      <sheetName val="P27_40_T13"/>
      <sheetName val="P41_T14"/>
      <sheetName val="P42_T14"/>
      <sheetName val="P43_T14"/>
      <sheetName val="P44_T15"/>
      <sheetName val="P45_T16"/>
      <sheetName val="P46_T17"/>
      <sheetName val="P47_T18"/>
      <sheetName val="P48_T19"/>
      <sheetName val="P49_T20"/>
      <sheetName val="P50_T21"/>
      <sheetName val="P51_T22"/>
      <sheetName val="P52_T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3">
          <cell r="E23">
            <v>1196756.0294548399</v>
          </cell>
        </row>
        <row r="42">
          <cell r="H42">
            <v>3.5750527197558481E-2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B2:V44"/>
  <sheetViews>
    <sheetView showGridLines="0" topLeftCell="A2" workbookViewId="0">
      <selection activeCell="H2" sqref="H2"/>
    </sheetView>
  </sheetViews>
  <sheetFormatPr baseColWidth="10" defaultColWidth="8.83203125" defaultRowHeight="13" x14ac:dyDescent="0.15"/>
  <cols>
    <col min="1" max="2" width="3.33203125" style="1" customWidth="1"/>
    <col min="3" max="3" width="14.6640625" style="1" customWidth="1"/>
    <col min="4" max="4" width="11.6640625" style="1" customWidth="1"/>
    <col min="5" max="19" width="8.6640625" style="1" customWidth="1"/>
    <col min="20" max="21" width="9.6640625" style="1" customWidth="1"/>
    <col min="22" max="22" width="3.33203125" style="1" customWidth="1"/>
    <col min="23" max="23" width="8.83203125" style="1"/>
    <col min="24" max="24" width="9.1640625" style="1" customWidth="1"/>
    <col min="25" max="25" width="12.83203125" style="1" bestFit="1" customWidth="1"/>
    <col min="26" max="30" width="8.83203125" style="1"/>
    <col min="31" max="32" width="14.33203125" style="1" customWidth="1"/>
    <col min="33" max="16384" width="8.83203125" style="1"/>
  </cols>
  <sheetData>
    <row r="2" spans="2:22" x14ac:dyDescent="0.15">
      <c r="B2" s="12"/>
    </row>
    <row r="3" spans="2:22" ht="14" thickBot="1" x14ac:dyDescent="0.2">
      <c r="B3" s="183">
        <v>2.5</v>
      </c>
      <c r="C3" s="1">
        <v>14</v>
      </c>
      <c r="D3" s="1">
        <v>11</v>
      </c>
      <c r="E3" s="1">
        <v>8</v>
      </c>
      <c r="F3" s="1">
        <v>8</v>
      </c>
      <c r="G3" s="1">
        <v>8</v>
      </c>
      <c r="H3" s="1">
        <v>8</v>
      </c>
      <c r="I3" s="1">
        <v>8</v>
      </c>
      <c r="J3" s="1">
        <v>8</v>
      </c>
      <c r="K3" s="1">
        <v>8</v>
      </c>
      <c r="L3" s="1">
        <v>8</v>
      </c>
      <c r="M3" s="1">
        <v>8</v>
      </c>
      <c r="N3" s="1">
        <v>8</v>
      </c>
      <c r="O3" s="1">
        <v>8</v>
      </c>
      <c r="P3" s="1">
        <v>8</v>
      </c>
      <c r="Q3" s="1">
        <v>8</v>
      </c>
      <c r="R3" s="1">
        <v>8</v>
      </c>
      <c r="S3" s="1">
        <v>8</v>
      </c>
      <c r="T3" s="1">
        <v>9</v>
      </c>
      <c r="U3" s="1">
        <v>9</v>
      </c>
      <c r="V3" s="183">
        <v>2.5</v>
      </c>
    </row>
    <row r="4" spans="2:22" ht="13" customHeight="1" x14ac:dyDescent="0.15">
      <c r="B4" s="69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1"/>
    </row>
    <row r="5" spans="2:22" ht="13" customHeight="1" x14ac:dyDescent="0.15">
      <c r="B5" s="72"/>
      <c r="C5" s="73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 t="s">
        <v>437</v>
      </c>
      <c r="V5" s="75"/>
    </row>
    <row r="6" spans="2:22" ht="13" customHeight="1" x14ac:dyDescent="0.15"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5"/>
    </row>
    <row r="7" spans="2:22" ht="13" customHeight="1" x14ac:dyDescent="0.15">
      <c r="B7" s="72"/>
      <c r="C7" s="76"/>
      <c r="D7" s="77" t="s">
        <v>438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5"/>
    </row>
    <row r="8" spans="2:22" ht="13" customHeight="1" x14ac:dyDescent="0.15">
      <c r="B8" s="72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5"/>
    </row>
    <row r="9" spans="2:22" ht="15" customHeight="1" x14ac:dyDescent="0.15">
      <c r="B9" s="2"/>
      <c r="C9" s="12"/>
      <c r="Q9" s="117"/>
      <c r="S9" s="117"/>
      <c r="V9" s="22"/>
    </row>
    <row r="10" spans="2:22" ht="15" customHeight="1" x14ac:dyDescent="0.15">
      <c r="B10" s="2"/>
      <c r="C10" s="12" t="s">
        <v>10</v>
      </c>
      <c r="I10" s="117"/>
      <c r="O10" s="117"/>
      <c r="V10" s="22"/>
    </row>
    <row r="11" spans="2:22" ht="15" customHeight="1" thickBot="1" x14ac:dyDescent="0.2">
      <c r="B11" s="2"/>
      <c r="C11" s="12"/>
      <c r="P11" s="11"/>
      <c r="Q11" s="11"/>
      <c r="R11" s="11"/>
      <c r="S11" s="11"/>
      <c r="T11" s="11"/>
      <c r="U11" s="11" t="s">
        <v>39</v>
      </c>
      <c r="V11" s="22"/>
    </row>
    <row r="12" spans="2:22" ht="15" customHeight="1" thickBot="1" x14ac:dyDescent="0.2">
      <c r="B12" s="2"/>
      <c r="C12" s="477" t="s">
        <v>63</v>
      </c>
      <c r="D12" s="477" t="s">
        <v>68</v>
      </c>
      <c r="E12" s="477" t="s">
        <v>363</v>
      </c>
      <c r="F12" s="477" t="s">
        <v>374</v>
      </c>
      <c r="G12" s="477" t="s">
        <v>0</v>
      </c>
      <c r="H12" s="481" t="s">
        <v>7</v>
      </c>
      <c r="I12" s="481"/>
      <c r="J12" s="481"/>
      <c r="K12" s="481"/>
      <c r="L12" s="481"/>
      <c r="M12" s="481"/>
      <c r="N12" s="481"/>
      <c r="O12" s="477" t="s">
        <v>66</v>
      </c>
      <c r="P12" s="477" t="s">
        <v>40</v>
      </c>
      <c r="Q12" s="477" t="s">
        <v>360</v>
      </c>
      <c r="R12" s="477" t="s">
        <v>361</v>
      </c>
      <c r="S12" s="477" t="s">
        <v>362</v>
      </c>
      <c r="T12" s="477" t="s">
        <v>44</v>
      </c>
      <c r="U12" s="477" t="s">
        <v>46</v>
      </c>
      <c r="V12" s="22"/>
    </row>
    <row r="13" spans="2:22" ht="37.5" customHeight="1" thickBot="1" x14ac:dyDescent="0.2">
      <c r="B13" s="2"/>
      <c r="C13" s="478"/>
      <c r="D13" s="478"/>
      <c r="E13" s="478"/>
      <c r="F13" s="478"/>
      <c r="G13" s="478"/>
      <c r="H13" s="26" t="s">
        <v>1</v>
      </c>
      <c r="I13" s="26" t="s">
        <v>364</v>
      </c>
      <c r="J13" s="26" t="s">
        <v>365</v>
      </c>
      <c r="K13" s="26" t="s">
        <v>4</v>
      </c>
      <c r="L13" s="26" t="s">
        <v>5</v>
      </c>
      <c r="M13" s="26" t="s">
        <v>67</v>
      </c>
      <c r="N13" s="26" t="s">
        <v>6</v>
      </c>
      <c r="O13" s="478"/>
      <c r="P13" s="478"/>
      <c r="Q13" s="478"/>
      <c r="R13" s="478"/>
      <c r="S13" s="478"/>
      <c r="T13" s="478"/>
      <c r="U13" s="478"/>
      <c r="V13" s="22"/>
    </row>
    <row r="14" spans="2:22" ht="18" customHeight="1" x14ac:dyDescent="0.15">
      <c r="B14" s="2"/>
      <c r="C14" s="14" t="s">
        <v>9</v>
      </c>
      <c r="D14" s="60">
        <v>11063859</v>
      </c>
      <c r="E14" s="274">
        <v>718.24283141492003</v>
      </c>
      <c r="F14" s="274">
        <v>128.88860023277002</v>
      </c>
      <c r="G14" s="274">
        <v>327.75043248715997</v>
      </c>
      <c r="H14" s="274">
        <v>62.362978285419999</v>
      </c>
      <c r="I14" s="274">
        <v>30.385130287439999</v>
      </c>
      <c r="J14" s="274">
        <v>18.94470469386</v>
      </c>
      <c r="K14" s="274">
        <v>51.019698709410001</v>
      </c>
      <c r="L14" s="274">
        <v>17.09040650623</v>
      </c>
      <c r="M14" s="274">
        <v>12.943905911060002</v>
      </c>
      <c r="N14" s="274">
        <v>0</v>
      </c>
      <c r="O14" s="274">
        <v>531.93525330545003</v>
      </c>
      <c r="P14" s="274">
        <v>76.101588180699991</v>
      </c>
      <c r="Q14" s="274">
        <v>79.395621254700004</v>
      </c>
      <c r="R14" s="274">
        <v>7.3347424544700006</v>
      </c>
      <c r="S14" s="274">
        <v>10.628775528469999</v>
      </c>
      <c r="T14" s="274">
        <v>3259.0930153930199</v>
      </c>
      <c r="U14" s="274">
        <v>294.12174557774</v>
      </c>
      <c r="V14" s="88">
        <v>0</v>
      </c>
    </row>
    <row r="15" spans="2:22" ht="18" customHeight="1" thickBot="1" x14ac:dyDescent="0.2">
      <c r="B15" s="2"/>
      <c r="C15" s="192" t="s">
        <v>8</v>
      </c>
      <c r="D15" s="193">
        <v>15430557</v>
      </c>
      <c r="E15" s="276">
        <v>574.96247027799996</v>
      </c>
      <c r="F15" s="276">
        <v>78.472848630190001</v>
      </c>
      <c r="G15" s="276">
        <v>304.42082921321997</v>
      </c>
      <c r="H15" s="276">
        <v>0</v>
      </c>
      <c r="I15" s="276">
        <v>0</v>
      </c>
      <c r="J15" s="276">
        <v>0</v>
      </c>
      <c r="K15" s="276">
        <v>0</v>
      </c>
      <c r="L15" s="276">
        <v>0</v>
      </c>
      <c r="M15" s="276">
        <v>0</v>
      </c>
      <c r="N15" s="276">
        <v>102.38576893314</v>
      </c>
      <c r="O15" s="276">
        <v>472.57670134486</v>
      </c>
      <c r="P15" s="276">
        <v>38.130800843750002</v>
      </c>
      <c r="Q15" s="276">
        <v>35.406763864910005</v>
      </c>
      <c r="R15" s="276">
        <v>7.2283350322899995</v>
      </c>
      <c r="S15" s="276">
        <v>5.8747529701899994</v>
      </c>
      <c r="T15" s="276">
        <v>2566.3846836426401</v>
      </c>
      <c r="U15" s="276">
        <v>214.77670389970001</v>
      </c>
      <c r="V15" s="88">
        <v>1</v>
      </c>
    </row>
    <row r="16" spans="2:22" ht="16.5" customHeight="1" thickBot="1" x14ac:dyDescent="0.2">
      <c r="B16" s="2"/>
      <c r="C16" s="15" t="s">
        <v>64</v>
      </c>
      <c r="D16" s="292">
        <v>26494416</v>
      </c>
      <c r="E16" s="293">
        <v>1293.2053016929199</v>
      </c>
      <c r="F16" s="293">
        <v>207.36144886296</v>
      </c>
      <c r="G16" s="293">
        <v>632.17126170038</v>
      </c>
      <c r="H16" s="293">
        <v>62.362978285419999</v>
      </c>
      <c r="I16" s="293">
        <v>30.385130287439999</v>
      </c>
      <c r="J16" s="293">
        <v>18.94470469386</v>
      </c>
      <c r="K16" s="293">
        <v>51.019698709410001</v>
      </c>
      <c r="L16" s="293">
        <v>17.09040650623</v>
      </c>
      <c r="M16" s="293">
        <v>12.943905911060002</v>
      </c>
      <c r="N16" s="293">
        <v>102.38576893314</v>
      </c>
      <c r="O16" s="293">
        <v>1004.51195465031</v>
      </c>
      <c r="P16" s="293">
        <v>114.23238902444999</v>
      </c>
      <c r="Q16" s="293">
        <v>114.80238511961001</v>
      </c>
      <c r="R16" s="293">
        <v>14.563077486760001</v>
      </c>
      <c r="S16" s="293">
        <v>16.50352849866</v>
      </c>
      <c r="T16" s="293">
        <v>5825.4776990356604</v>
      </c>
      <c r="U16" s="293">
        <v>508.89844947744001</v>
      </c>
      <c r="V16" s="22"/>
    </row>
    <row r="17" spans="2:22" x14ac:dyDescent="0.15">
      <c r="B17" s="2"/>
      <c r="C17" s="18"/>
      <c r="D17" s="1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V17" s="22"/>
    </row>
    <row r="18" spans="2:22" x14ac:dyDescent="0.15">
      <c r="B18" s="2"/>
      <c r="C18" s="18"/>
      <c r="D18" s="1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V18" s="22"/>
    </row>
    <row r="19" spans="2:22" x14ac:dyDescent="0.15">
      <c r="B19" s="2"/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22"/>
    </row>
    <row r="20" spans="2:22" x14ac:dyDescent="0.15">
      <c r="B20" s="2"/>
      <c r="C20" s="18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V20" s="22"/>
    </row>
    <row r="21" spans="2:22" x14ac:dyDescent="0.15">
      <c r="B21" s="2"/>
      <c r="C21" s="12"/>
      <c r="V21" s="22"/>
    </row>
    <row r="22" spans="2:22" x14ac:dyDescent="0.15">
      <c r="B22" s="2"/>
      <c r="C22" s="12"/>
      <c r="P22" s="11"/>
      <c r="Q22" s="11"/>
      <c r="R22" s="11"/>
      <c r="S22" s="11"/>
      <c r="T22" s="11"/>
      <c r="U22" s="11"/>
      <c r="V22" s="22"/>
    </row>
    <row r="23" spans="2:22" ht="18" customHeight="1" x14ac:dyDescent="0.15">
      <c r="B23" s="2"/>
      <c r="C23" s="479"/>
      <c r="D23" s="479"/>
      <c r="E23" s="479"/>
      <c r="F23" s="479"/>
      <c r="G23" s="479"/>
      <c r="H23" s="480"/>
      <c r="I23" s="480"/>
      <c r="J23" s="480"/>
      <c r="K23" s="480"/>
      <c r="L23" s="480"/>
      <c r="M23" s="480"/>
      <c r="N23" s="480"/>
      <c r="O23" s="479"/>
      <c r="P23" s="479"/>
      <c r="Q23" s="115"/>
      <c r="R23" s="115"/>
      <c r="S23" s="115"/>
      <c r="T23" s="479"/>
      <c r="U23" s="479"/>
      <c r="V23" s="22"/>
    </row>
    <row r="24" spans="2:22" ht="37.5" customHeight="1" x14ac:dyDescent="0.15">
      <c r="B24" s="2"/>
      <c r="C24" s="479"/>
      <c r="D24" s="479"/>
      <c r="E24" s="479"/>
      <c r="F24" s="479"/>
      <c r="G24" s="479"/>
      <c r="H24" s="115"/>
      <c r="I24" s="115"/>
      <c r="J24" s="115"/>
      <c r="K24" s="115"/>
      <c r="L24" s="115"/>
      <c r="M24" s="115"/>
      <c r="N24" s="115"/>
      <c r="O24" s="479"/>
      <c r="P24" s="479"/>
      <c r="Q24" s="115"/>
      <c r="R24" s="115"/>
      <c r="S24" s="115"/>
      <c r="T24" s="479"/>
      <c r="U24" s="479"/>
      <c r="V24" s="22"/>
    </row>
    <row r="25" spans="2:22" ht="37.5" customHeight="1" x14ac:dyDescent="0.15">
      <c r="B25" s="144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22"/>
    </row>
    <row r="26" spans="2:22" ht="22.5" customHeight="1" x14ac:dyDescent="0.15">
      <c r="B26" s="144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22"/>
    </row>
    <row r="27" spans="2:22" ht="18" customHeight="1" x14ac:dyDescent="0.15">
      <c r="B27" s="2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2"/>
    </row>
    <row r="28" spans="2:22" x14ac:dyDescent="0.15">
      <c r="B28" s="2"/>
      <c r="C28" s="12"/>
      <c r="V28" s="22"/>
    </row>
    <row r="29" spans="2:22" x14ac:dyDescent="0.15">
      <c r="B29" s="2"/>
      <c r="C29" s="12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22"/>
    </row>
    <row r="30" spans="2:22" x14ac:dyDescent="0.15">
      <c r="B30" s="2"/>
      <c r="C30" s="12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22"/>
    </row>
    <row r="31" spans="2:22" ht="56.25" customHeight="1" x14ac:dyDescent="0.15">
      <c r="B31" s="2"/>
      <c r="V31" s="22"/>
    </row>
    <row r="32" spans="2:22" x14ac:dyDescent="0.15">
      <c r="B32" s="2"/>
      <c r="C32" s="12"/>
      <c r="V32" s="22"/>
    </row>
    <row r="33" spans="2:22" x14ac:dyDescent="0.15">
      <c r="B33" s="2"/>
      <c r="C33" s="12"/>
      <c r="P33" s="11"/>
      <c r="Q33" s="11"/>
      <c r="R33" s="11"/>
      <c r="S33" s="11"/>
      <c r="T33" s="11"/>
      <c r="U33" s="11"/>
      <c r="V33" s="22"/>
    </row>
    <row r="34" spans="2:22" ht="18" customHeight="1" x14ac:dyDescent="0.15">
      <c r="B34" s="2"/>
      <c r="C34" s="479"/>
      <c r="D34" s="479"/>
      <c r="E34" s="479"/>
      <c r="F34" s="479"/>
      <c r="G34" s="479"/>
      <c r="H34" s="480"/>
      <c r="I34" s="480"/>
      <c r="J34" s="480"/>
      <c r="K34" s="480"/>
      <c r="L34" s="480"/>
      <c r="M34" s="480"/>
      <c r="N34" s="480"/>
      <c r="O34" s="479"/>
      <c r="P34" s="479"/>
      <c r="Q34" s="115"/>
      <c r="R34" s="115"/>
      <c r="S34" s="115"/>
      <c r="T34" s="479"/>
      <c r="U34" s="479"/>
      <c r="V34" s="22"/>
    </row>
    <row r="35" spans="2:22" ht="39" customHeight="1" x14ac:dyDescent="0.15">
      <c r="B35" s="2"/>
      <c r="C35" s="479"/>
      <c r="D35" s="479"/>
      <c r="E35" s="479"/>
      <c r="F35" s="479"/>
      <c r="G35" s="479"/>
      <c r="H35" s="115"/>
      <c r="I35" s="115"/>
      <c r="J35" s="115"/>
      <c r="K35" s="115"/>
      <c r="L35" s="115"/>
      <c r="M35" s="115"/>
      <c r="N35" s="115"/>
      <c r="O35" s="479"/>
      <c r="P35" s="479"/>
      <c r="Q35" s="115"/>
      <c r="R35" s="115"/>
      <c r="S35" s="115"/>
      <c r="T35" s="479"/>
      <c r="U35" s="479"/>
      <c r="V35" s="22"/>
    </row>
    <row r="36" spans="2:22" ht="18" customHeight="1" x14ac:dyDescent="0.15">
      <c r="B36" s="2"/>
      <c r="D36" s="64"/>
      <c r="E36" s="63"/>
      <c r="F36" s="63"/>
      <c r="G36" s="63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88">
        <v>0</v>
      </c>
    </row>
    <row r="37" spans="2:22" ht="18" customHeight="1" x14ac:dyDescent="0.15">
      <c r="B37" s="2"/>
      <c r="C37" s="9"/>
      <c r="D37" s="116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88">
        <v>1</v>
      </c>
    </row>
    <row r="38" spans="2:22" ht="18" customHeight="1" x14ac:dyDescent="0.15">
      <c r="B38" s="2"/>
      <c r="D38" s="116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88">
        <v>2</v>
      </c>
    </row>
    <row r="39" spans="2:22" ht="17.25" customHeight="1" x14ac:dyDescent="0.15">
      <c r="B39" s="2"/>
      <c r="C39" s="18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2"/>
    </row>
    <row r="40" spans="2:22" ht="14" thickBot="1" x14ac:dyDescent="0.2">
      <c r="B40" s="28"/>
      <c r="C40" s="29"/>
      <c r="D40" s="30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27"/>
    </row>
    <row r="41" spans="2:22" x14ac:dyDescent="0.15">
      <c r="B41" s="24"/>
      <c r="C41" s="18"/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4"/>
    </row>
    <row r="43" spans="2:22" x14ac:dyDescent="0.15"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</row>
    <row r="44" spans="2:22" x14ac:dyDescent="0.15"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</row>
  </sheetData>
  <sheetProtection selectLockedCells="1" selectUnlockedCells="1"/>
  <mergeCells count="33">
    <mergeCell ref="C34:C35"/>
    <mergeCell ref="D34:D35"/>
    <mergeCell ref="E34:E35"/>
    <mergeCell ref="F34:F35"/>
    <mergeCell ref="G34:G35"/>
    <mergeCell ref="T12:T13"/>
    <mergeCell ref="U12:U13"/>
    <mergeCell ref="H23:N23"/>
    <mergeCell ref="H12:N12"/>
    <mergeCell ref="O34:O35"/>
    <mergeCell ref="P34:P35"/>
    <mergeCell ref="T34:T35"/>
    <mergeCell ref="U34:U35"/>
    <mergeCell ref="O23:O24"/>
    <mergeCell ref="P23:P24"/>
    <mergeCell ref="T23:T24"/>
    <mergeCell ref="U23:U24"/>
    <mergeCell ref="Q12:Q13"/>
    <mergeCell ref="R12:R13"/>
    <mergeCell ref="S12:S13"/>
    <mergeCell ref="H34:N34"/>
    <mergeCell ref="O12:O13"/>
    <mergeCell ref="P12:P13"/>
    <mergeCell ref="C23:C24"/>
    <mergeCell ref="D23:D24"/>
    <mergeCell ref="E23:E24"/>
    <mergeCell ref="F23:F24"/>
    <mergeCell ref="G23:G24"/>
    <mergeCell ref="C12:C13"/>
    <mergeCell ref="D12:D13"/>
    <mergeCell ref="E12:E13"/>
    <mergeCell ref="F12:F13"/>
    <mergeCell ref="G12:G13"/>
  </mergeCells>
  <printOptions horizontalCentered="1"/>
  <pageMargins left="0.39370078740157483" right="0.39370078740157483" top="0.59055118110236227" bottom="0.59055118110236227" header="0.51181102362204722" footer="0.31496062992125984"/>
  <pageSetup paperSize="9" scale="75" firstPageNumber="0" orientation="landscape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H45"/>
  <sheetViews>
    <sheetView showGridLines="0" topLeftCell="A5" workbookViewId="0">
      <selection activeCell="C9" sqref="C9"/>
    </sheetView>
  </sheetViews>
  <sheetFormatPr baseColWidth="10" defaultColWidth="8.83203125" defaultRowHeight="13" x14ac:dyDescent="0.15"/>
  <cols>
    <col min="1" max="1" width="6" style="1" customWidth="1"/>
    <col min="2" max="2" width="2.33203125" style="1" customWidth="1"/>
    <col min="3" max="3" width="17.83203125" style="1" customWidth="1"/>
    <col min="4" max="4" width="13" style="1" customWidth="1"/>
    <col min="5" max="5" width="12.33203125" style="1" customWidth="1"/>
    <col min="6" max="6" width="14.1640625" style="1" customWidth="1"/>
    <col min="7" max="7" width="9" style="1" customWidth="1"/>
    <col min="8" max="8" width="13" style="1" customWidth="1"/>
    <col min="9" max="9" width="9" style="1" customWidth="1"/>
    <col min="10" max="10" width="8.5" style="1" customWidth="1"/>
    <col min="11" max="11" width="7.5" style="1" customWidth="1"/>
    <col min="12" max="12" width="7" style="1" customWidth="1"/>
    <col min="13" max="13" width="7.6640625" style="1" customWidth="1"/>
    <col min="14" max="14" width="14.83203125" style="1" bestFit="1" customWidth="1"/>
    <col min="15" max="15" width="9" style="1" customWidth="1"/>
    <col min="16" max="16" width="7.83203125" style="1" customWidth="1"/>
    <col min="17" max="17" width="7.5" style="1" customWidth="1"/>
    <col min="18" max="18" width="6.83203125" style="1" customWidth="1"/>
    <col min="19" max="19" width="7.5" style="1" customWidth="1"/>
    <col min="20" max="20" width="10.6640625" style="1" customWidth="1"/>
    <col min="21" max="21" width="8.5" style="1" customWidth="1"/>
    <col min="22" max="22" width="2.33203125" style="1" customWidth="1"/>
    <col min="23" max="23" width="9.1640625" style="1" customWidth="1"/>
    <col min="24" max="24" width="4.5" style="1" customWidth="1"/>
    <col min="25" max="25" width="5.83203125" style="1" customWidth="1"/>
    <col min="26" max="30" width="8.83203125" style="1"/>
    <col min="31" max="31" width="17.1640625" style="1" customWidth="1"/>
    <col min="32" max="32" width="16" style="1" customWidth="1"/>
    <col min="33" max="33" width="9.6640625" style="1" customWidth="1"/>
    <col min="34" max="256" width="8.83203125" style="1"/>
    <col min="257" max="257" width="2.5" style="1" customWidth="1"/>
    <col min="258" max="258" width="2.33203125" style="1" customWidth="1"/>
    <col min="259" max="259" width="17.83203125" style="1" customWidth="1"/>
    <col min="260" max="260" width="10.5" style="1" customWidth="1"/>
    <col min="261" max="262" width="8" style="1" customWidth="1"/>
    <col min="263" max="263" width="9" style="1" customWidth="1"/>
    <col min="264" max="264" width="8.33203125" style="1" customWidth="1"/>
    <col min="265" max="265" width="11.5" style="1" customWidth="1"/>
    <col min="266" max="266" width="8.5" style="1" customWidth="1"/>
    <col min="267" max="267" width="7.5" style="1" customWidth="1"/>
    <col min="268" max="268" width="7" style="1" customWidth="1"/>
    <col min="269" max="269" width="7.6640625" style="1" customWidth="1"/>
    <col min="270" max="270" width="7.33203125" style="1" customWidth="1"/>
    <col min="271" max="271" width="8.1640625" style="1" customWidth="1"/>
    <col min="272" max="273" width="7.33203125" style="1" customWidth="1"/>
    <col min="274" max="275" width="7.5" style="1" customWidth="1"/>
    <col min="276" max="276" width="10.5" style="1" customWidth="1"/>
    <col min="277" max="277" width="8.1640625" style="1" customWidth="1"/>
    <col min="278" max="278" width="2.33203125" style="1" customWidth="1"/>
    <col min="279" max="279" width="15.5" style="1" customWidth="1"/>
    <col min="280" max="280" width="8.5" style="1" customWidth="1"/>
    <col min="281" max="281" width="15" style="1" customWidth="1"/>
    <col min="282" max="286" width="8.83203125" style="1"/>
    <col min="287" max="287" width="17.1640625" style="1" customWidth="1"/>
    <col min="288" max="288" width="16" style="1" customWidth="1"/>
    <col min="289" max="289" width="9.6640625" style="1" customWidth="1"/>
    <col min="290" max="512" width="8.83203125" style="1"/>
    <col min="513" max="513" width="2.5" style="1" customWidth="1"/>
    <col min="514" max="514" width="2.33203125" style="1" customWidth="1"/>
    <col min="515" max="515" width="17.83203125" style="1" customWidth="1"/>
    <col min="516" max="516" width="10.5" style="1" customWidth="1"/>
    <col min="517" max="518" width="8" style="1" customWidth="1"/>
    <col min="519" max="519" width="9" style="1" customWidth="1"/>
    <col min="520" max="520" width="8.33203125" style="1" customWidth="1"/>
    <col min="521" max="521" width="11.5" style="1" customWidth="1"/>
    <col min="522" max="522" width="8.5" style="1" customWidth="1"/>
    <col min="523" max="523" width="7.5" style="1" customWidth="1"/>
    <col min="524" max="524" width="7" style="1" customWidth="1"/>
    <col min="525" max="525" width="7.6640625" style="1" customWidth="1"/>
    <col min="526" max="526" width="7.33203125" style="1" customWidth="1"/>
    <col min="527" max="527" width="8.1640625" style="1" customWidth="1"/>
    <col min="528" max="529" width="7.33203125" style="1" customWidth="1"/>
    <col min="530" max="531" width="7.5" style="1" customWidth="1"/>
    <col min="532" max="532" width="10.5" style="1" customWidth="1"/>
    <col min="533" max="533" width="8.1640625" style="1" customWidth="1"/>
    <col min="534" max="534" width="2.33203125" style="1" customWidth="1"/>
    <col min="535" max="535" width="15.5" style="1" customWidth="1"/>
    <col min="536" max="536" width="8.5" style="1" customWidth="1"/>
    <col min="537" max="537" width="15" style="1" customWidth="1"/>
    <col min="538" max="542" width="8.83203125" style="1"/>
    <col min="543" max="543" width="17.1640625" style="1" customWidth="1"/>
    <col min="544" max="544" width="16" style="1" customWidth="1"/>
    <col min="545" max="545" width="9.6640625" style="1" customWidth="1"/>
    <col min="546" max="768" width="8.83203125" style="1"/>
    <col min="769" max="769" width="2.5" style="1" customWidth="1"/>
    <col min="770" max="770" width="2.33203125" style="1" customWidth="1"/>
    <col min="771" max="771" width="17.83203125" style="1" customWidth="1"/>
    <col min="772" max="772" width="10.5" style="1" customWidth="1"/>
    <col min="773" max="774" width="8" style="1" customWidth="1"/>
    <col min="775" max="775" width="9" style="1" customWidth="1"/>
    <col min="776" max="776" width="8.33203125" style="1" customWidth="1"/>
    <col min="777" max="777" width="11.5" style="1" customWidth="1"/>
    <col min="778" max="778" width="8.5" style="1" customWidth="1"/>
    <col min="779" max="779" width="7.5" style="1" customWidth="1"/>
    <col min="780" max="780" width="7" style="1" customWidth="1"/>
    <col min="781" max="781" width="7.6640625" style="1" customWidth="1"/>
    <col min="782" max="782" width="7.33203125" style="1" customWidth="1"/>
    <col min="783" max="783" width="8.1640625" style="1" customWidth="1"/>
    <col min="784" max="785" width="7.33203125" style="1" customWidth="1"/>
    <col min="786" max="787" width="7.5" style="1" customWidth="1"/>
    <col min="788" max="788" width="10.5" style="1" customWidth="1"/>
    <col min="789" max="789" width="8.1640625" style="1" customWidth="1"/>
    <col min="790" max="790" width="2.33203125" style="1" customWidth="1"/>
    <col min="791" max="791" width="15.5" style="1" customWidth="1"/>
    <col min="792" max="792" width="8.5" style="1" customWidth="1"/>
    <col min="793" max="793" width="15" style="1" customWidth="1"/>
    <col min="794" max="798" width="8.83203125" style="1"/>
    <col min="799" max="799" width="17.1640625" style="1" customWidth="1"/>
    <col min="800" max="800" width="16" style="1" customWidth="1"/>
    <col min="801" max="801" width="9.6640625" style="1" customWidth="1"/>
    <col min="802" max="1024" width="8.83203125" style="1"/>
    <col min="1025" max="1025" width="2.5" style="1" customWidth="1"/>
    <col min="1026" max="1026" width="2.33203125" style="1" customWidth="1"/>
    <col min="1027" max="1027" width="17.83203125" style="1" customWidth="1"/>
    <col min="1028" max="1028" width="10.5" style="1" customWidth="1"/>
    <col min="1029" max="1030" width="8" style="1" customWidth="1"/>
    <col min="1031" max="1031" width="9" style="1" customWidth="1"/>
    <col min="1032" max="1032" width="8.33203125" style="1" customWidth="1"/>
    <col min="1033" max="1033" width="11.5" style="1" customWidth="1"/>
    <col min="1034" max="1034" width="8.5" style="1" customWidth="1"/>
    <col min="1035" max="1035" width="7.5" style="1" customWidth="1"/>
    <col min="1036" max="1036" width="7" style="1" customWidth="1"/>
    <col min="1037" max="1037" width="7.6640625" style="1" customWidth="1"/>
    <col min="1038" max="1038" width="7.33203125" style="1" customWidth="1"/>
    <col min="1039" max="1039" width="8.1640625" style="1" customWidth="1"/>
    <col min="1040" max="1041" width="7.33203125" style="1" customWidth="1"/>
    <col min="1042" max="1043" width="7.5" style="1" customWidth="1"/>
    <col min="1044" max="1044" width="10.5" style="1" customWidth="1"/>
    <col min="1045" max="1045" width="8.1640625" style="1" customWidth="1"/>
    <col min="1046" max="1046" width="2.33203125" style="1" customWidth="1"/>
    <col min="1047" max="1047" width="15.5" style="1" customWidth="1"/>
    <col min="1048" max="1048" width="8.5" style="1" customWidth="1"/>
    <col min="1049" max="1049" width="15" style="1" customWidth="1"/>
    <col min="1050" max="1054" width="8.83203125" style="1"/>
    <col min="1055" max="1055" width="17.1640625" style="1" customWidth="1"/>
    <col min="1056" max="1056" width="16" style="1" customWidth="1"/>
    <col min="1057" max="1057" width="9.6640625" style="1" customWidth="1"/>
    <col min="1058" max="1280" width="8.83203125" style="1"/>
    <col min="1281" max="1281" width="2.5" style="1" customWidth="1"/>
    <col min="1282" max="1282" width="2.33203125" style="1" customWidth="1"/>
    <col min="1283" max="1283" width="17.83203125" style="1" customWidth="1"/>
    <col min="1284" max="1284" width="10.5" style="1" customWidth="1"/>
    <col min="1285" max="1286" width="8" style="1" customWidth="1"/>
    <col min="1287" max="1287" width="9" style="1" customWidth="1"/>
    <col min="1288" max="1288" width="8.33203125" style="1" customWidth="1"/>
    <col min="1289" max="1289" width="11.5" style="1" customWidth="1"/>
    <col min="1290" max="1290" width="8.5" style="1" customWidth="1"/>
    <col min="1291" max="1291" width="7.5" style="1" customWidth="1"/>
    <col min="1292" max="1292" width="7" style="1" customWidth="1"/>
    <col min="1293" max="1293" width="7.6640625" style="1" customWidth="1"/>
    <col min="1294" max="1294" width="7.33203125" style="1" customWidth="1"/>
    <col min="1295" max="1295" width="8.1640625" style="1" customWidth="1"/>
    <col min="1296" max="1297" width="7.33203125" style="1" customWidth="1"/>
    <col min="1298" max="1299" width="7.5" style="1" customWidth="1"/>
    <col min="1300" max="1300" width="10.5" style="1" customWidth="1"/>
    <col min="1301" max="1301" width="8.1640625" style="1" customWidth="1"/>
    <col min="1302" max="1302" width="2.33203125" style="1" customWidth="1"/>
    <col min="1303" max="1303" width="15.5" style="1" customWidth="1"/>
    <col min="1304" max="1304" width="8.5" style="1" customWidth="1"/>
    <col min="1305" max="1305" width="15" style="1" customWidth="1"/>
    <col min="1306" max="1310" width="8.83203125" style="1"/>
    <col min="1311" max="1311" width="17.1640625" style="1" customWidth="1"/>
    <col min="1312" max="1312" width="16" style="1" customWidth="1"/>
    <col min="1313" max="1313" width="9.6640625" style="1" customWidth="1"/>
    <col min="1314" max="1536" width="8.83203125" style="1"/>
    <col min="1537" max="1537" width="2.5" style="1" customWidth="1"/>
    <col min="1538" max="1538" width="2.33203125" style="1" customWidth="1"/>
    <col min="1539" max="1539" width="17.83203125" style="1" customWidth="1"/>
    <col min="1540" max="1540" width="10.5" style="1" customWidth="1"/>
    <col min="1541" max="1542" width="8" style="1" customWidth="1"/>
    <col min="1543" max="1543" width="9" style="1" customWidth="1"/>
    <col min="1544" max="1544" width="8.33203125" style="1" customWidth="1"/>
    <col min="1545" max="1545" width="11.5" style="1" customWidth="1"/>
    <col min="1546" max="1546" width="8.5" style="1" customWidth="1"/>
    <col min="1547" max="1547" width="7.5" style="1" customWidth="1"/>
    <col min="1548" max="1548" width="7" style="1" customWidth="1"/>
    <col min="1549" max="1549" width="7.6640625" style="1" customWidth="1"/>
    <col min="1550" max="1550" width="7.33203125" style="1" customWidth="1"/>
    <col min="1551" max="1551" width="8.1640625" style="1" customWidth="1"/>
    <col min="1552" max="1553" width="7.33203125" style="1" customWidth="1"/>
    <col min="1554" max="1555" width="7.5" style="1" customWidth="1"/>
    <col min="1556" max="1556" width="10.5" style="1" customWidth="1"/>
    <col min="1557" max="1557" width="8.1640625" style="1" customWidth="1"/>
    <col min="1558" max="1558" width="2.33203125" style="1" customWidth="1"/>
    <col min="1559" max="1559" width="15.5" style="1" customWidth="1"/>
    <col min="1560" max="1560" width="8.5" style="1" customWidth="1"/>
    <col min="1561" max="1561" width="15" style="1" customWidth="1"/>
    <col min="1562" max="1566" width="8.83203125" style="1"/>
    <col min="1567" max="1567" width="17.1640625" style="1" customWidth="1"/>
    <col min="1568" max="1568" width="16" style="1" customWidth="1"/>
    <col min="1569" max="1569" width="9.6640625" style="1" customWidth="1"/>
    <col min="1570" max="1792" width="8.83203125" style="1"/>
    <col min="1793" max="1793" width="2.5" style="1" customWidth="1"/>
    <col min="1794" max="1794" width="2.33203125" style="1" customWidth="1"/>
    <col min="1795" max="1795" width="17.83203125" style="1" customWidth="1"/>
    <col min="1796" max="1796" width="10.5" style="1" customWidth="1"/>
    <col min="1797" max="1798" width="8" style="1" customWidth="1"/>
    <col min="1799" max="1799" width="9" style="1" customWidth="1"/>
    <col min="1800" max="1800" width="8.33203125" style="1" customWidth="1"/>
    <col min="1801" max="1801" width="11.5" style="1" customWidth="1"/>
    <col min="1802" max="1802" width="8.5" style="1" customWidth="1"/>
    <col min="1803" max="1803" width="7.5" style="1" customWidth="1"/>
    <col min="1804" max="1804" width="7" style="1" customWidth="1"/>
    <col min="1805" max="1805" width="7.6640625" style="1" customWidth="1"/>
    <col min="1806" max="1806" width="7.33203125" style="1" customWidth="1"/>
    <col min="1807" max="1807" width="8.1640625" style="1" customWidth="1"/>
    <col min="1808" max="1809" width="7.33203125" style="1" customWidth="1"/>
    <col min="1810" max="1811" width="7.5" style="1" customWidth="1"/>
    <col min="1812" max="1812" width="10.5" style="1" customWidth="1"/>
    <col min="1813" max="1813" width="8.1640625" style="1" customWidth="1"/>
    <col min="1814" max="1814" width="2.33203125" style="1" customWidth="1"/>
    <col min="1815" max="1815" width="15.5" style="1" customWidth="1"/>
    <col min="1816" max="1816" width="8.5" style="1" customWidth="1"/>
    <col min="1817" max="1817" width="15" style="1" customWidth="1"/>
    <col min="1818" max="1822" width="8.83203125" style="1"/>
    <col min="1823" max="1823" width="17.1640625" style="1" customWidth="1"/>
    <col min="1824" max="1824" width="16" style="1" customWidth="1"/>
    <col min="1825" max="1825" width="9.6640625" style="1" customWidth="1"/>
    <col min="1826" max="2048" width="8.83203125" style="1"/>
    <col min="2049" max="2049" width="2.5" style="1" customWidth="1"/>
    <col min="2050" max="2050" width="2.33203125" style="1" customWidth="1"/>
    <col min="2051" max="2051" width="17.83203125" style="1" customWidth="1"/>
    <col min="2052" max="2052" width="10.5" style="1" customWidth="1"/>
    <col min="2053" max="2054" width="8" style="1" customWidth="1"/>
    <col min="2055" max="2055" width="9" style="1" customWidth="1"/>
    <col min="2056" max="2056" width="8.33203125" style="1" customWidth="1"/>
    <col min="2057" max="2057" width="11.5" style="1" customWidth="1"/>
    <col min="2058" max="2058" width="8.5" style="1" customWidth="1"/>
    <col min="2059" max="2059" width="7.5" style="1" customWidth="1"/>
    <col min="2060" max="2060" width="7" style="1" customWidth="1"/>
    <col min="2061" max="2061" width="7.6640625" style="1" customWidth="1"/>
    <col min="2062" max="2062" width="7.33203125" style="1" customWidth="1"/>
    <col min="2063" max="2063" width="8.1640625" style="1" customWidth="1"/>
    <col min="2064" max="2065" width="7.33203125" style="1" customWidth="1"/>
    <col min="2066" max="2067" width="7.5" style="1" customWidth="1"/>
    <col min="2068" max="2068" width="10.5" style="1" customWidth="1"/>
    <col min="2069" max="2069" width="8.1640625" style="1" customWidth="1"/>
    <col min="2070" max="2070" width="2.33203125" style="1" customWidth="1"/>
    <col min="2071" max="2071" width="15.5" style="1" customWidth="1"/>
    <col min="2072" max="2072" width="8.5" style="1" customWidth="1"/>
    <col min="2073" max="2073" width="15" style="1" customWidth="1"/>
    <col min="2074" max="2078" width="8.83203125" style="1"/>
    <col min="2079" max="2079" width="17.1640625" style="1" customWidth="1"/>
    <col min="2080" max="2080" width="16" style="1" customWidth="1"/>
    <col min="2081" max="2081" width="9.6640625" style="1" customWidth="1"/>
    <col min="2082" max="2304" width="8.83203125" style="1"/>
    <col min="2305" max="2305" width="2.5" style="1" customWidth="1"/>
    <col min="2306" max="2306" width="2.33203125" style="1" customWidth="1"/>
    <col min="2307" max="2307" width="17.83203125" style="1" customWidth="1"/>
    <col min="2308" max="2308" width="10.5" style="1" customWidth="1"/>
    <col min="2309" max="2310" width="8" style="1" customWidth="1"/>
    <col min="2311" max="2311" width="9" style="1" customWidth="1"/>
    <col min="2312" max="2312" width="8.33203125" style="1" customWidth="1"/>
    <col min="2313" max="2313" width="11.5" style="1" customWidth="1"/>
    <col min="2314" max="2314" width="8.5" style="1" customWidth="1"/>
    <col min="2315" max="2315" width="7.5" style="1" customWidth="1"/>
    <col min="2316" max="2316" width="7" style="1" customWidth="1"/>
    <col min="2317" max="2317" width="7.6640625" style="1" customWidth="1"/>
    <col min="2318" max="2318" width="7.33203125" style="1" customWidth="1"/>
    <col min="2319" max="2319" width="8.1640625" style="1" customWidth="1"/>
    <col min="2320" max="2321" width="7.33203125" style="1" customWidth="1"/>
    <col min="2322" max="2323" width="7.5" style="1" customWidth="1"/>
    <col min="2324" max="2324" width="10.5" style="1" customWidth="1"/>
    <col min="2325" max="2325" width="8.1640625" style="1" customWidth="1"/>
    <col min="2326" max="2326" width="2.33203125" style="1" customWidth="1"/>
    <col min="2327" max="2327" width="15.5" style="1" customWidth="1"/>
    <col min="2328" max="2328" width="8.5" style="1" customWidth="1"/>
    <col min="2329" max="2329" width="15" style="1" customWidth="1"/>
    <col min="2330" max="2334" width="8.83203125" style="1"/>
    <col min="2335" max="2335" width="17.1640625" style="1" customWidth="1"/>
    <col min="2336" max="2336" width="16" style="1" customWidth="1"/>
    <col min="2337" max="2337" width="9.6640625" style="1" customWidth="1"/>
    <col min="2338" max="2560" width="8.83203125" style="1"/>
    <col min="2561" max="2561" width="2.5" style="1" customWidth="1"/>
    <col min="2562" max="2562" width="2.33203125" style="1" customWidth="1"/>
    <col min="2563" max="2563" width="17.83203125" style="1" customWidth="1"/>
    <col min="2564" max="2564" width="10.5" style="1" customWidth="1"/>
    <col min="2565" max="2566" width="8" style="1" customWidth="1"/>
    <col min="2567" max="2567" width="9" style="1" customWidth="1"/>
    <col min="2568" max="2568" width="8.33203125" style="1" customWidth="1"/>
    <col min="2569" max="2569" width="11.5" style="1" customWidth="1"/>
    <col min="2570" max="2570" width="8.5" style="1" customWidth="1"/>
    <col min="2571" max="2571" width="7.5" style="1" customWidth="1"/>
    <col min="2572" max="2572" width="7" style="1" customWidth="1"/>
    <col min="2573" max="2573" width="7.6640625" style="1" customWidth="1"/>
    <col min="2574" max="2574" width="7.33203125" style="1" customWidth="1"/>
    <col min="2575" max="2575" width="8.1640625" style="1" customWidth="1"/>
    <col min="2576" max="2577" width="7.33203125" style="1" customWidth="1"/>
    <col min="2578" max="2579" width="7.5" style="1" customWidth="1"/>
    <col min="2580" max="2580" width="10.5" style="1" customWidth="1"/>
    <col min="2581" max="2581" width="8.1640625" style="1" customWidth="1"/>
    <col min="2582" max="2582" width="2.33203125" style="1" customWidth="1"/>
    <col min="2583" max="2583" width="15.5" style="1" customWidth="1"/>
    <col min="2584" max="2584" width="8.5" style="1" customWidth="1"/>
    <col min="2585" max="2585" width="15" style="1" customWidth="1"/>
    <col min="2586" max="2590" width="8.83203125" style="1"/>
    <col min="2591" max="2591" width="17.1640625" style="1" customWidth="1"/>
    <col min="2592" max="2592" width="16" style="1" customWidth="1"/>
    <col min="2593" max="2593" width="9.6640625" style="1" customWidth="1"/>
    <col min="2594" max="2816" width="8.83203125" style="1"/>
    <col min="2817" max="2817" width="2.5" style="1" customWidth="1"/>
    <col min="2818" max="2818" width="2.33203125" style="1" customWidth="1"/>
    <col min="2819" max="2819" width="17.83203125" style="1" customWidth="1"/>
    <col min="2820" max="2820" width="10.5" style="1" customWidth="1"/>
    <col min="2821" max="2822" width="8" style="1" customWidth="1"/>
    <col min="2823" max="2823" width="9" style="1" customWidth="1"/>
    <col min="2824" max="2824" width="8.33203125" style="1" customWidth="1"/>
    <col min="2825" max="2825" width="11.5" style="1" customWidth="1"/>
    <col min="2826" max="2826" width="8.5" style="1" customWidth="1"/>
    <col min="2827" max="2827" width="7.5" style="1" customWidth="1"/>
    <col min="2828" max="2828" width="7" style="1" customWidth="1"/>
    <col min="2829" max="2829" width="7.6640625" style="1" customWidth="1"/>
    <col min="2830" max="2830" width="7.33203125" style="1" customWidth="1"/>
    <col min="2831" max="2831" width="8.1640625" style="1" customWidth="1"/>
    <col min="2832" max="2833" width="7.33203125" style="1" customWidth="1"/>
    <col min="2834" max="2835" width="7.5" style="1" customWidth="1"/>
    <col min="2836" max="2836" width="10.5" style="1" customWidth="1"/>
    <col min="2837" max="2837" width="8.1640625" style="1" customWidth="1"/>
    <col min="2838" max="2838" width="2.33203125" style="1" customWidth="1"/>
    <col min="2839" max="2839" width="15.5" style="1" customWidth="1"/>
    <col min="2840" max="2840" width="8.5" style="1" customWidth="1"/>
    <col min="2841" max="2841" width="15" style="1" customWidth="1"/>
    <col min="2842" max="2846" width="8.83203125" style="1"/>
    <col min="2847" max="2847" width="17.1640625" style="1" customWidth="1"/>
    <col min="2848" max="2848" width="16" style="1" customWidth="1"/>
    <col min="2849" max="2849" width="9.6640625" style="1" customWidth="1"/>
    <col min="2850" max="3072" width="8.83203125" style="1"/>
    <col min="3073" max="3073" width="2.5" style="1" customWidth="1"/>
    <col min="3074" max="3074" width="2.33203125" style="1" customWidth="1"/>
    <col min="3075" max="3075" width="17.83203125" style="1" customWidth="1"/>
    <col min="3076" max="3076" width="10.5" style="1" customWidth="1"/>
    <col min="3077" max="3078" width="8" style="1" customWidth="1"/>
    <col min="3079" max="3079" width="9" style="1" customWidth="1"/>
    <col min="3080" max="3080" width="8.33203125" style="1" customWidth="1"/>
    <col min="3081" max="3081" width="11.5" style="1" customWidth="1"/>
    <col min="3082" max="3082" width="8.5" style="1" customWidth="1"/>
    <col min="3083" max="3083" width="7.5" style="1" customWidth="1"/>
    <col min="3084" max="3084" width="7" style="1" customWidth="1"/>
    <col min="3085" max="3085" width="7.6640625" style="1" customWidth="1"/>
    <col min="3086" max="3086" width="7.33203125" style="1" customWidth="1"/>
    <col min="3087" max="3087" width="8.1640625" style="1" customWidth="1"/>
    <col min="3088" max="3089" width="7.33203125" style="1" customWidth="1"/>
    <col min="3090" max="3091" width="7.5" style="1" customWidth="1"/>
    <col min="3092" max="3092" width="10.5" style="1" customWidth="1"/>
    <col min="3093" max="3093" width="8.1640625" style="1" customWidth="1"/>
    <col min="3094" max="3094" width="2.33203125" style="1" customWidth="1"/>
    <col min="3095" max="3095" width="15.5" style="1" customWidth="1"/>
    <col min="3096" max="3096" width="8.5" style="1" customWidth="1"/>
    <col min="3097" max="3097" width="15" style="1" customWidth="1"/>
    <col min="3098" max="3102" width="8.83203125" style="1"/>
    <col min="3103" max="3103" width="17.1640625" style="1" customWidth="1"/>
    <col min="3104" max="3104" width="16" style="1" customWidth="1"/>
    <col min="3105" max="3105" width="9.6640625" style="1" customWidth="1"/>
    <col min="3106" max="3328" width="8.83203125" style="1"/>
    <col min="3329" max="3329" width="2.5" style="1" customWidth="1"/>
    <col min="3330" max="3330" width="2.33203125" style="1" customWidth="1"/>
    <col min="3331" max="3331" width="17.83203125" style="1" customWidth="1"/>
    <col min="3332" max="3332" width="10.5" style="1" customWidth="1"/>
    <col min="3333" max="3334" width="8" style="1" customWidth="1"/>
    <col min="3335" max="3335" width="9" style="1" customWidth="1"/>
    <col min="3336" max="3336" width="8.33203125" style="1" customWidth="1"/>
    <col min="3337" max="3337" width="11.5" style="1" customWidth="1"/>
    <col min="3338" max="3338" width="8.5" style="1" customWidth="1"/>
    <col min="3339" max="3339" width="7.5" style="1" customWidth="1"/>
    <col min="3340" max="3340" width="7" style="1" customWidth="1"/>
    <col min="3341" max="3341" width="7.6640625" style="1" customWidth="1"/>
    <col min="3342" max="3342" width="7.33203125" style="1" customWidth="1"/>
    <col min="3343" max="3343" width="8.1640625" style="1" customWidth="1"/>
    <col min="3344" max="3345" width="7.33203125" style="1" customWidth="1"/>
    <col min="3346" max="3347" width="7.5" style="1" customWidth="1"/>
    <col min="3348" max="3348" width="10.5" style="1" customWidth="1"/>
    <col min="3349" max="3349" width="8.1640625" style="1" customWidth="1"/>
    <col min="3350" max="3350" width="2.33203125" style="1" customWidth="1"/>
    <col min="3351" max="3351" width="15.5" style="1" customWidth="1"/>
    <col min="3352" max="3352" width="8.5" style="1" customWidth="1"/>
    <col min="3353" max="3353" width="15" style="1" customWidth="1"/>
    <col min="3354" max="3358" width="8.83203125" style="1"/>
    <col min="3359" max="3359" width="17.1640625" style="1" customWidth="1"/>
    <col min="3360" max="3360" width="16" style="1" customWidth="1"/>
    <col min="3361" max="3361" width="9.6640625" style="1" customWidth="1"/>
    <col min="3362" max="3584" width="8.83203125" style="1"/>
    <col min="3585" max="3585" width="2.5" style="1" customWidth="1"/>
    <col min="3586" max="3586" width="2.33203125" style="1" customWidth="1"/>
    <col min="3587" max="3587" width="17.83203125" style="1" customWidth="1"/>
    <col min="3588" max="3588" width="10.5" style="1" customWidth="1"/>
    <col min="3589" max="3590" width="8" style="1" customWidth="1"/>
    <col min="3591" max="3591" width="9" style="1" customWidth="1"/>
    <col min="3592" max="3592" width="8.33203125" style="1" customWidth="1"/>
    <col min="3593" max="3593" width="11.5" style="1" customWidth="1"/>
    <col min="3594" max="3594" width="8.5" style="1" customWidth="1"/>
    <col min="3595" max="3595" width="7.5" style="1" customWidth="1"/>
    <col min="3596" max="3596" width="7" style="1" customWidth="1"/>
    <col min="3597" max="3597" width="7.6640625" style="1" customWidth="1"/>
    <col min="3598" max="3598" width="7.33203125" style="1" customWidth="1"/>
    <col min="3599" max="3599" width="8.1640625" style="1" customWidth="1"/>
    <col min="3600" max="3601" width="7.33203125" style="1" customWidth="1"/>
    <col min="3602" max="3603" width="7.5" style="1" customWidth="1"/>
    <col min="3604" max="3604" width="10.5" style="1" customWidth="1"/>
    <col min="3605" max="3605" width="8.1640625" style="1" customWidth="1"/>
    <col min="3606" max="3606" width="2.33203125" style="1" customWidth="1"/>
    <col min="3607" max="3607" width="15.5" style="1" customWidth="1"/>
    <col min="3608" max="3608" width="8.5" style="1" customWidth="1"/>
    <col min="3609" max="3609" width="15" style="1" customWidth="1"/>
    <col min="3610" max="3614" width="8.83203125" style="1"/>
    <col min="3615" max="3615" width="17.1640625" style="1" customWidth="1"/>
    <col min="3616" max="3616" width="16" style="1" customWidth="1"/>
    <col min="3617" max="3617" width="9.6640625" style="1" customWidth="1"/>
    <col min="3618" max="3840" width="8.83203125" style="1"/>
    <col min="3841" max="3841" width="2.5" style="1" customWidth="1"/>
    <col min="3842" max="3842" width="2.33203125" style="1" customWidth="1"/>
    <col min="3843" max="3843" width="17.83203125" style="1" customWidth="1"/>
    <col min="3844" max="3844" width="10.5" style="1" customWidth="1"/>
    <col min="3845" max="3846" width="8" style="1" customWidth="1"/>
    <col min="3847" max="3847" width="9" style="1" customWidth="1"/>
    <col min="3848" max="3848" width="8.33203125" style="1" customWidth="1"/>
    <col min="3849" max="3849" width="11.5" style="1" customWidth="1"/>
    <col min="3850" max="3850" width="8.5" style="1" customWidth="1"/>
    <col min="3851" max="3851" width="7.5" style="1" customWidth="1"/>
    <col min="3852" max="3852" width="7" style="1" customWidth="1"/>
    <col min="3853" max="3853" width="7.6640625" style="1" customWidth="1"/>
    <col min="3854" max="3854" width="7.33203125" style="1" customWidth="1"/>
    <col min="3855" max="3855" width="8.1640625" style="1" customWidth="1"/>
    <col min="3856" max="3857" width="7.33203125" style="1" customWidth="1"/>
    <col min="3858" max="3859" width="7.5" style="1" customWidth="1"/>
    <col min="3860" max="3860" width="10.5" style="1" customWidth="1"/>
    <col min="3861" max="3861" width="8.1640625" style="1" customWidth="1"/>
    <col min="3862" max="3862" width="2.33203125" style="1" customWidth="1"/>
    <col min="3863" max="3863" width="15.5" style="1" customWidth="1"/>
    <col min="3864" max="3864" width="8.5" style="1" customWidth="1"/>
    <col min="3865" max="3865" width="15" style="1" customWidth="1"/>
    <col min="3866" max="3870" width="8.83203125" style="1"/>
    <col min="3871" max="3871" width="17.1640625" style="1" customWidth="1"/>
    <col min="3872" max="3872" width="16" style="1" customWidth="1"/>
    <col min="3873" max="3873" width="9.6640625" style="1" customWidth="1"/>
    <col min="3874" max="4096" width="8.83203125" style="1"/>
    <col min="4097" max="4097" width="2.5" style="1" customWidth="1"/>
    <col min="4098" max="4098" width="2.33203125" style="1" customWidth="1"/>
    <col min="4099" max="4099" width="17.83203125" style="1" customWidth="1"/>
    <col min="4100" max="4100" width="10.5" style="1" customWidth="1"/>
    <col min="4101" max="4102" width="8" style="1" customWidth="1"/>
    <col min="4103" max="4103" width="9" style="1" customWidth="1"/>
    <col min="4104" max="4104" width="8.33203125" style="1" customWidth="1"/>
    <col min="4105" max="4105" width="11.5" style="1" customWidth="1"/>
    <col min="4106" max="4106" width="8.5" style="1" customWidth="1"/>
    <col min="4107" max="4107" width="7.5" style="1" customWidth="1"/>
    <col min="4108" max="4108" width="7" style="1" customWidth="1"/>
    <col min="4109" max="4109" width="7.6640625" style="1" customWidth="1"/>
    <col min="4110" max="4110" width="7.33203125" style="1" customWidth="1"/>
    <col min="4111" max="4111" width="8.1640625" style="1" customWidth="1"/>
    <col min="4112" max="4113" width="7.33203125" style="1" customWidth="1"/>
    <col min="4114" max="4115" width="7.5" style="1" customWidth="1"/>
    <col min="4116" max="4116" width="10.5" style="1" customWidth="1"/>
    <col min="4117" max="4117" width="8.1640625" style="1" customWidth="1"/>
    <col min="4118" max="4118" width="2.33203125" style="1" customWidth="1"/>
    <col min="4119" max="4119" width="15.5" style="1" customWidth="1"/>
    <col min="4120" max="4120" width="8.5" style="1" customWidth="1"/>
    <col min="4121" max="4121" width="15" style="1" customWidth="1"/>
    <col min="4122" max="4126" width="8.83203125" style="1"/>
    <col min="4127" max="4127" width="17.1640625" style="1" customWidth="1"/>
    <col min="4128" max="4128" width="16" style="1" customWidth="1"/>
    <col min="4129" max="4129" width="9.6640625" style="1" customWidth="1"/>
    <col min="4130" max="4352" width="8.83203125" style="1"/>
    <col min="4353" max="4353" width="2.5" style="1" customWidth="1"/>
    <col min="4354" max="4354" width="2.33203125" style="1" customWidth="1"/>
    <col min="4355" max="4355" width="17.83203125" style="1" customWidth="1"/>
    <col min="4356" max="4356" width="10.5" style="1" customWidth="1"/>
    <col min="4357" max="4358" width="8" style="1" customWidth="1"/>
    <col min="4359" max="4359" width="9" style="1" customWidth="1"/>
    <col min="4360" max="4360" width="8.33203125" style="1" customWidth="1"/>
    <col min="4361" max="4361" width="11.5" style="1" customWidth="1"/>
    <col min="4362" max="4362" width="8.5" style="1" customWidth="1"/>
    <col min="4363" max="4363" width="7.5" style="1" customWidth="1"/>
    <col min="4364" max="4364" width="7" style="1" customWidth="1"/>
    <col min="4365" max="4365" width="7.6640625" style="1" customWidth="1"/>
    <col min="4366" max="4366" width="7.33203125" style="1" customWidth="1"/>
    <col min="4367" max="4367" width="8.1640625" style="1" customWidth="1"/>
    <col min="4368" max="4369" width="7.33203125" style="1" customWidth="1"/>
    <col min="4370" max="4371" width="7.5" style="1" customWidth="1"/>
    <col min="4372" max="4372" width="10.5" style="1" customWidth="1"/>
    <col min="4373" max="4373" width="8.1640625" style="1" customWidth="1"/>
    <col min="4374" max="4374" width="2.33203125" style="1" customWidth="1"/>
    <col min="4375" max="4375" width="15.5" style="1" customWidth="1"/>
    <col min="4376" max="4376" width="8.5" style="1" customWidth="1"/>
    <col min="4377" max="4377" width="15" style="1" customWidth="1"/>
    <col min="4378" max="4382" width="8.83203125" style="1"/>
    <col min="4383" max="4383" width="17.1640625" style="1" customWidth="1"/>
    <col min="4384" max="4384" width="16" style="1" customWidth="1"/>
    <col min="4385" max="4385" width="9.6640625" style="1" customWidth="1"/>
    <col min="4386" max="4608" width="8.83203125" style="1"/>
    <col min="4609" max="4609" width="2.5" style="1" customWidth="1"/>
    <col min="4610" max="4610" width="2.33203125" style="1" customWidth="1"/>
    <col min="4611" max="4611" width="17.83203125" style="1" customWidth="1"/>
    <col min="4612" max="4612" width="10.5" style="1" customWidth="1"/>
    <col min="4613" max="4614" width="8" style="1" customWidth="1"/>
    <col min="4615" max="4615" width="9" style="1" customWidth="1"/>
    <col min="4616" max="4616" width="8.33203125" style="1" customWidth="1"/>
    <col min="4617" max="4617" width="11.5" style="1" customWidth="1"/>
    <col min="4618" max="4618" width="8.5" style="1" customWidth="1"/>
    <col min="4619" max="4619" width="7.5" style="1" customWidth="1"/>
    <col min="4620" max="4620" width="7" style="1" customWidth="1"/>
    <col min="4621" max="4621" width="7.6640625" style="1" customWidth="1"/>
    <col min="4622" max="4622" width="7.33203125" style="1" customWidth="1"/>
    <col min="4623" max="4623" width="8.1640625" style="1" customWidth="1"/>
    <col min="4624" max="4625" width="7.33203125" style="1" customWidth="1"/>
    <col min="4626" max="4627" width="7.5" style="1" customWidth="1"/>
    <col min="4628" max="4628" width="10.5" style="1" customWidth="1"/>
    <col min="4629" max="4629" width="8.1640625" style="1" customWidth="1"/>
    <col min="4630" max="4630" width="2.33203125" style="1" customWidth="1"/>
    <col min="4631" max="4631" width="15.5" style="1" customWidth="1"/>
    <col min="4632" max="4632" width="8.5" style="1" customWidth="1"/>
    <col min="4633" max="4633" width="15" style="1" customWidth="1"/>
    <col min="4634" max="4638" width="8.83203125" style="1"/>
    <col min="4639" max="4639" width="17.1640625" style="1" customWidth="1"/>
    <col min="4640" max="4640" width="16" style="1" customWidth="1"/>
    <col min="4641" max="4641" width="9.6640625" style="1" customWidth="1"/>
    <col min="4642" max="4864" width="8.83203125" style="1"/>
    <col min="4865" max="4865" width="2.5" style="1" customWidth="1"/>
    <col min="4866" max="4866" width="2.33203125" style="1" customWidth="1"/>
    <col min="4867" max="4867" width="17.83203125" style="1" customWidth="1"/>
    <col min="4868" max="4868" width="10.5" style="1" customWidth="1"/>
    <col min="4869" max="4870" width="8" style="1" customWidth="1"/>
    <col min="4871" max="4871" width="9" style="1" customWidth="1"/>
    <col min="4872" max="4872" width="8.33203125" style="1" customWidth="1"/>
    <col min="4873" max="4873" width="11.5" style="1" customWidth="1"/>
    <col min="4874" max="4874" width="8.5" style="1" customWidth="1"/>
    <col min="4875" max="4875" width="7.5" style="1" customWidth="1"/>
    <col min="4876" max="4876" width="7" style="1" customWidth="1"/>
    <col min="4877" max="4877" width="7.6640625" style="1" customWidth="1"/>
    <col min="4878" max="4878" width="7.33203125" style="1" customWidth="1"/>
    <col min="4879" max="4879" width="8.1640625" style="1" customWidth="1"/>
    <col min="4880" max="4881" width="7.33203125" style="1" customWidth="1"/>
    <col min="4882" max="4883" width="7.5" style="1" customWidth="1"/>
    <col min="4884" max="4884" width="10.5" style="1" customWidth="1"/>
    <col min="4885" max="4885" width="8.1640625" style="1" customWidth="1"/>
    <col min="4886" max="4886" width="2.33203125" style="1" customWidth="1"/>
    <col min="4887" max="4887" width="15.5" style="1" customWidth="1"/>
    <col min="4888" max="4888" width="8.5" style="1" customWidth="1"/>
    <col min="4889" max="4889" width="15" style="1" customWidth="1"/>
    <col min="4890" max="4894" width="8.83203125" style="1"/>
    <col min="4895" max="4895" width="17.1640625" style="1" customWidth="1"/>
    <col min="4896" max="4896" width="16" style="1" customWidth="1"/>
    <col min="4897" max="4897" width="9.6640625" style="1" customWidth="1"/>
    <col min="4898" max="5120" width="8.83203125" style="1"/>
    <col min="5121" max="5121" width="2.5" style="1" customWidth="1"/>
    <col min="5122" max="5122" width="2.33203125" style="1" customWidth="1"/>
    <col min="5123" max="5123" width="17.83203125" style="1" customWidth="1"/>
    <col min="5124" max="5124" width="10.5" style="1" customWidth="1"/>
    <col min="5125" max="5126" width="8" style="1" customWidth="1"/>
    <col min="5127" max="5127" width="9" style="1" customWidth="1"/>
    <col min="5128" max="5128" width="8.33203125" style="1" customWidth="1"/>
    <col min="5129" max="5129" width="11.5" style="1" customWidth="1"/>
    <col min="5130" max="5130" width="8.5" style="1" customWidth="1"/>
    <col min="5131" max="5131" width="7.5" style="1" customWidth="1"/>
    <col min="5132" max="5132" width="7" style="1" customWidth="1"/>
    <col min="5133" max="5133" width="7.6640625" style="1" customWidth="1"/>
    <col min="5134" max="5134" width="7.33203125" style="1" customWidth="1"/>
    <col min="5135" max="5135" width="8.1640625" style="1" customWidth="1"/>
    <col min="5136" max="5137" width="7.33203125" style="1" customWidth="1"/>
    <col min="5138" max="5139" width="7.5" style="1" customWidth="1"/>
    <col min="5140" max="5140" width="10.5" style="1" customWidth="1"/>
    <col min="5141" max="5141" width="8.1640625" style="1" customWidth="1"/>
    <col min="5142" max="5142" width="2.33203125" style="1" customWidth="1"/>
    <col min="5143" max="5143" width="15.5" style="1" customWidth="1"/>
    <col min="5144" max="5144" width="8.5" style="1" customWidth="1"/>
    <col min="5145" max="5145" width="15" style="1" customWidth="1"/>
    <col min="5146" max="5150" width="8.83203125" style="1"/>
    <col min="5151" max="5151" width="17.1640625" style="1" customWidth="1"/>
    <col min="5152" max="5152" width="16" style="1" customWidth="1"/>
    <col min="5153" max="5153" width="9.6640625" style="1" customWidth="1"/>
    <col min="5154" max="5376" width="8.83203125" style="1"/>
    <col min="5377" max="5377" width="2.5" style="1" customWidth="1"/>
    <col min="5378" max="5378" width="2.33203125" style="1" customWidth="1"/>
    <col min="5379" max="5379" width="17.83203125" style="1" customWidth="1"/>
    <col min="5380" max="5380" width="10.5" style="1" customWidth="1"/>
    <col min="5381" max="5382" width="8" style="1" customWidth="1"/>
    <col min="5383" max="5383" width="9" style="1" customWidth="1"/>
    <col min="5384" max="5384" width="8.33203125" style="1" customWidth="1"/>
    <col min="5385" max="5385" width="11.5" style="1" customWidth="1"/>
    <col min="5386" max="5386" width="8.5" style="1" customWidth="1"/>
    <col min="5387" max="5387" width="7.5" style="1" customWidth="1"/>
    <col min="5388" max="5388" width="7" style="1" customWidth="1"/>
    <col min="5389" max="5389" width="7.6640625" style="1" customWidth="1"/>
    <col min="5390" max="5390" width="7.33203125" style="1" customWidth="1"/>
    <col min="5391" max="5391" width="8.1640625" style="1" customWidth="1"/>
    <col min="5392" max="5393" width="7.33203125" style="1" customWidth="1"/>
    <col min="5394" max="5395" width="7.5" style="1" customWidth="1"/>
    <col min="5396" max="5396" width="10.5" style="1" customWidth="1"/>
    <col min="5397" max="5397" width="8.1640625" style="1" customWidth="1"/>
    <col min="5398" max="5398" width="2.33203125" style="1" customWidth="1"/>
    <col min="5399" max="5399" width="15.5" style="1" customWidth="1"/>
    <col min="5400" max="5400" width="8.5" style="1" customWidth="1"/>
    <col min="5401" max="5401" width="15" style="1" customWidth="1"/>
    <col min="5402" max="5406" width="8.83203125" style="1"/>
    <col min="5407" max="5407" width="17.1640625" style="1" customWidth="1"/>
    <col min="5408" max="5408" width="16" style="1" customWidth="1"/>
    <col min="5409" max="5409" width="9.6640625" style="1" customWidth="1"/>
    <col min="5410" max="5632" width="8.83203125" style="1"/>
    <col min="5633" max="5633" width="2.5" style="1" customWidth="1"/>
    <col min="5634" max="5634" width="2.33203125" style="1" customWidth="1"/>
    <col min="5635" max="5635" width="17.83203125" style="1" customWidth="1"/>
    <col min="5636" max="5636" width="10.5" style="1" customWidth="1"/>
    <col min="5637" max="5638" width="8" style="1" customWidth="1"/>
    <col min="5639" max="5639" width="9" style="1" customWidth="1"/>
    <col min="5640" max="5640" width="8.33203125" style="1" customWidth="1"/>
    <col min="5641" max="5641" width="11.5" style="1" customWidth="1"/>
    <col min="5642" max="5642" width="8.5" style="1" customWidth="1"/>
    <col min="5643" max="5643" width="7.5" style="1" customWidth="1"/>
    <col min="5644" max="5644" width="7" style="1" customWidth="1"/>
    <col min="5645" max="5645" width="7.6640625" style="1" customWidth="1"/>
    <col min="5646" max="5646" width="7.33203125" style="1" customWidth="1"/>
    <col min="5647" max="5647" width="8.1640625" style="1" customWidth="1"/>
    <col min="5648" max="5649" width="7.33203125" style="1" customWidth="1"/>
    <col min="5650" max="5651" width="7.5" style="1" customWidth="1"/>
    <col min="5652" max="5652" width="10.5" style="1" customWidth="1"/>
    <col min="5653" max="5653" width="8.1640625" style="1" customWidth="1"/>
    <col min="5654" max="5654" width="2.33203125" style="1" customWidth="1"/>
    <col min="5655" max="5655" width="15.5" style="1" customWidth="1"/>
    <col min="5656" max="5656" width="8.5" style="1" customWidth="1"/>
    <col min="5657" max="5657" width="15" style="1" customWidth="1"/>
    <col min="5658" max="5662" width="8.83203125" style="1"/>
    <col min="5663" max="5663" width="17.1640625" style="1" customWidth="1"/>
    <col min="5664" max="5664" width="16" style="1" customWidth="1"/>
    <col min="5665" max="5665" width="9.6640625" style="1" customWidth="1"/>
    <col min="5666" max="5888" width="8.83203125" style="1"/>
    <col min="5889" max="5889" width="2.5" style="1" customWidth="1"/>
    <col min="5890" max="5890" width="2.33203125" style="1" customWidth="1"/>
    <col min="5891" max="5891" width="17.83203125" style="1" customWidth="1"/>
    <col min="5892" max="5892" width="10.5" style="1" customWidth="1"/>
    <col min="5893" max="5894" width="8" style="1" customWidth="1"/>
    <col min="5895" max="5895" width="9" style="1" customWidth="1"/>
    <col min="5896" max="5896" width="8.33203125" style="1" customWidth="1"/>
    <col min="5897" max="5897" width="11.5" style="1" customWidth="1"/>
    <col min="5898" max="5898" width="8.5" style="1" customWidth="1"/>
    <col min="5899" max="5899" width="7.5" style="1" customWidth="1"/>
    <col min="5900" max="5900" width="7" style="1" customWidth="1"/>
    <col min="5901" max="5901" width="7.6640625" style="1" customWidth="1"/>
    <col min="5902" max="5902" width="7.33203125" style="1" customWidth="1"/>
    <col min="5903" max="5903" width="8.1640625" style="1" customWidth="1"/>
    <col min="5904" max="5905" width="7.33203125" style="1" customWidth="1"/>
    <col min="5906" max="5907" width="7.5" style="1" customWidth="1"/>
    <col min="5908" max="5908" width="10.5" style="1" customWidth="1"/>
    <col min="5909" max="5909" width="8.1640625" style="1" customWidth="1"/>
    <col min="5910" max="5910" width="2.33203125" style="1" customWidth="1"/>
    <col min="5911" max="5911" width="15.5" style="1" customWidth="1"/>
    <col min="5912" max="5912" width="8.5" style="1" customWidth="1"/>
    <col min="5913" max="5913" width="15" style="1" customWidth="1"/>
    <col min="5914" max="5918" width="8.83203125" style="1"/>
    <col min="5919" max="5919" width="17.1640625" style="1" customWidth="1"/>
    <col min="5920" max="5920" width="16" style="1" customWidth="1"/>
    <col min="5921" max="5921" width="9.6640625" style="1" customWidth="1"/>
    <col min="5922" max="6144" width="8.83203125" style="1"/>
    <col min="6145" max="6145" width="2.5" style="1" customWidth="1"/>
    <col min="6146" max="6146" width="2.33203125" style="1" customWidth="1"/>
    <col min="6147" max="6147" width="17.83203125" style="1" customWidth="1"/>
    <col min="6148" max="6148" width="10.5" style="1" customWidth="1"/>
    <col min="6149" max="6150" width="8" style="1" customWidth="1"/>
    <col min="6151" max="6151" width="9" style="1" customWidth="1"/>
    <col min="6152" max="6152" width="8.33203125" style="1" customWidth="1"/>
    <col min="6153" max="6153" width="11.5" style="1" customWidth="1"/>
    <col min="6154" max="6154" width="8.5" style="1" customWidth="1"/>
    <col min="6155" max="6155" width="7.5" style="1" customWidth="1"/>
    <col min="6156" max="6156" width="7" style="1" customWidth="1"/>
    <col min="6157" max="6157" width="7.6640625" style="1" customWidth="1"/>
    <col min="6158" max="6158" width="7.33203125" style="1" customWidth="1"/>
    <col min="6159" max="6159" width="8.1640625" style="1" customWidth="1"/>
    <col min="6160" max="6161" width="7.33203125" style="1" customWidth="1"/>
    <col min="6162" max="6163" width="7.5" style="1" customWidth="1"/>
    <col min="6164" max="6164" width="10.5" style="1" customWidth="1"/>
    <col min="6165" max="6165" width="8.1640625" style="1" customWidth="1"/>
    <col min="6166" max="6166" width="2.33203125" style="1" customWidth="1"/>
    <col min="6167" max="6167" width="15.5" style="1" customWidth="1"/>
    <col min="6168" max="6168" width="8.5" style="1" customWidth="1"/>
    <col min="6169" max="6169" width="15" style="1" customWidth="1"/>
    <col min="6170" max="6174" width="8.83203125" style="1"/>
    <col min="6175" max="6175" width="17.1640625" style="1" customWidth="1"/>
    <col min="6176" max="6176" width="16" style="1" customWidth="1"/>
    <col min="6177" max="6177" width="9.6640625" style="1" customWidth="1"/>
    <col min="6178" max="6400" width="8.83203125" style="1"/>
    <col min="6401" max="6401" width="2.5" style="1" customWidth="1"/>
    <col min="6402" max="6402" width="2.33203125" style="1" customWidth="1"/>
    <col min="6403" max="6403" width="17.83203125" style="1" customWidth="1"/>
    <col min="6404" max="6404" width="10.5" style="1" customWidth="1"/>
    <col min="6405" max="6406" width="8" style="1" customWidth="1"/>
    <col min="6407" max="6407" width="9" style="1" customWidth="1"/>
    <col min="6408" max="6408" width="8.33203125" style="1" customWidth="1"/>
    <col min="6409" max="6409" width="11.5" style="1" customWidth="1"/>
    <col min="6410" max="6410" width="8.5" style="1" customWidth="1"/>
    <col min="6411" max="6411" width="7.5" style="1" customWidth="1"/>
    <col min="6412" max="6412" width="7" style="1" customWidth="1"/>
    <col min="6413" max="6413" width="7.6640625" style="1" customWidth="1"/>
    <col min="6414" max="6414" width="7.33203125" style="1" customWidth="1"/>
    <col min="6415" max="6415" width="8.1640625" style="1" customWidth="1"/>
    <col min="6416" max="6417" width="7.33203125" style="1" customWidth="1"/>
    <col min="6418" max="6419" width="7.5" style="1" customWidth="1"/>
    <col min="6420" max="6420" width="10.5" style="1" customWidth="1"/>
    <col min="6421" max="6421" width="8.1640625" style="1" customWidth="1"/>
    <col min="6422" max="6422" width="2.33203125" style="1" customWidth="1"/>
    <col min="6423" max="6423" width="15.5" style="1" customWidth="1"/>
    <col min="6424" max="6424" width="8.5" style="1" customWidth="1"/>
    <col min="6425" max="6425" width="15" style="1" customWidth="1"/>
    <col min="6426" max="6430" width="8.83203125" style="1"/>
    <col min="6431" max="6431" width="17.1640625" style="1" customWidth="1"/>
    <col min="6432" max="6432" width="16" style="1" customWidth="1"/>
    <col min="6433" max="6433" width="9.6640625" style="1" customWidth="1"/>
    <col min="6434" max="6656" width="8.83203125" style="1"/>
    <col min="6657" max="6657" width="2.5" style="1" customWidth="1"/>
    <col min="6658" max="6658" width="2.33203125" style="1" customWidth="1"/>
    <col min="6659" max="6659" width="17.83203125" style="1" customWidth="1"/>
    <col min="6660" max="6660" width="10.5" style="1" customWidth="1"/>
    <col min="6661" max="6662" width="8" style="1" customWidth="1"/>
    <col min="6663" max="6663" width="9" style="1" customWidth="1"/>
    <col min="6664" max="6664" width="8.33203125" style="1" customWidth="1"/>
    <col min="6665" max="6665" width="11.5" style="1" customWidth="1"/>
    <col min="6666" max="6666" width="8.5" style="1" customWidth="1"/>
    <col min="6667" max="6667" width="7.5" style="1" customWidth="1"/>
    <col min="6668" max="6668" width="7" style="1" customWidth="1"/>
    <col min="6669" max="6669" width="7.6640625" style="1" customWidth="1"/>
    <col min="6670" max="6670" width="7.33203125" style="1" customWidth="1"/>
    <col min="6671" max="6671" width="8.1640625" style="1" customWidth="1"/>
    <col min="6672" max="6673" width="7.33203125" style="1" customWidth="1"/>
    <col min="6674" max="6675" width="7.5" style="1" customWidth="1"/>
    <col min="6676" max="6676" width="10.5" style="1" customWidth="1"/>
    <col min="6677" max="6677" width="8.1640625" style="1" customWidth="1"/>
    <col min="6678" max="6678" width="2.33203125" style="1" customWidth="1"/>
    <col min="6679" max="6679" width="15.5" style="1" customWidth="1"/>
    <col min="6680" max="6680" width="8.5" style="1" customWidth="1"/>
    <col min="6681" max="6681" width="15" style="1" customWidth="1"/>
    <col min="6682" max="6686" width="8.83203125" style="1"/>
    <col min="6687" max="6687" width="17.1640625" style="1" customWidth="1"/>
    <col min="6688" max="6688" width="16" style="1" customWidth="1"/>
    <col min="6689" max="6689" width="9.6640625" style="1" customWidth="1"/>
    <col min="6690" max="6912" width="8.83203125" style="1"/>
    <col min="6913" max="6913" width="2.5" style="1" customWidth="1"/>
    <col min="6914" max="6914" width="2.33203125" style="1" customWidth="1"/>
    <col min="6915" max="6915" width="17.83203125" style="1" customWidth="1"/>
    <col min="6916" max="6916" width="10.5" style="1" customWidth="1"/>
    <col min="6917" max="6918" width="8" style="1" customWidth="1"/>
    <col min="6919" max="6919" width="9" style="1" customWidth="1"/>
    <col min="6920" max="6920" width="8.33203125" style="1" customWidth="1"/>
    <col min="6921" max="6921" width="11.5" style="1" customWidth="1"/>
    <col min="6922" max="6922" width="8.5" style="1" customWidth="1"/>
    <col min="6923" max="6923" width="7.5" style="1" customWidth="1"/>
    <col min="6924" max="6924" width="7" style="1" customWidth="1"/>
    <col min="6925" max="6925" width="7.6640625" style="1" customWidth="1"/>
    <col min="6926" max="6926" width="7.33203125" style="1" customWidth="1"/>
    <col min="6927" max="6927" width="8.1640625" style="1" customWidth="1"/>
    <col min="6928" max="6929" width="7.33203125" style="1" customWidth="1"/>
    <col min="6930" max="6931" width="7.5" style="1" customWidth="1"/>
    <col min="6932" max="6932" width="10.5" style="1" customWidth="1"/>
    <col min="6933" max="6933" width="8.1640625" style="1" customWidth="1"/>
    <col min="6934" max="6934" width="2.33203125" style="1" customWidth="1"/>
    <col min="6935" max="6935" width="15.5" style="1" customWidth="1"/>
    <col min="6936" max="6936" width="8.5" style="1" customWidth="1"/>
    <col min="6937" max="6937" width="15" style="1" customWidth="1"/>
    <col min="6938" max="6942" width="8.83203125" style="1"/>
    <col min="6943" max="6943" width="17.1640625" style="1" customWidth="1"/>
    <col min="6944" max="6944" width="16" style="1" customWidth="1"/>
    <col min="6945" max="6945" width="9.6640625" style="1" customWidth="1"/>
    <col min="6946" max="7168" width="8.83203125" style="1"/>
    <col min="7169" max="7169" width="2.5" style="1" customWidth="1"/>
    <col min="7170" max="7170" width="2.33203125" style="1" customWidth="1"/>
    <col min="7171" max="7171" width="17.83203125" style="1" customWidth="1"/>
    <col min="7172" max="7172" width="10.5" style="1" customWidth="1"/>
    <col min="7173" max="7174" width="8" style="1" customWidth="1"/>
    <col min="7175" max="7175" width="9" style="1" customWidth="1"/>
    <col min="7176" max="7176" width="8.33203125" style="1" customWidth="1"/>
    <col min="7177" max="7177" width="11.5" style="1" customWidth="1"/>
    <col min="7178" max="7178" width="8.5" style="1" customWidth="1"/>
    <col min="7179" max="7179" width="7.5" style="1" customWidth="1"/>
    <col min="7180" max="7180" width="7" style="1" customWidth="1"/>
    <col min="7181" max="7181" width="7.6640625" style="1" customWidth="1"/>
    <col min="7182" max="7182" width="7.33203125" style="1" customWidth="1"/>
    <col min="7183" max="7183" width="8.1640625" style="1" customWidth="1"/>
    <col min="7184" max="7185" width="7.33203125" style="1" customWidth="1"/>
    <col min="7186" max="7187" width="7.5" style="1" customWidth="1"/>
    <col min="7188" max="7188" width="10.5" style="1" customWidth="1"/>
    <col min="7189" max="7189" width="8.1640625" style="1" customWidth="1"/>
    <col min="7190" max="7190" width="2.33203125" style="1" customWidth="1"/>
    <col min="7191" max="7191" width="15.5" style="1" customWidth="1"/>
    <col min="7192" max="7192" width="8.5" style="1" customWidth="1"/>
    <col min="7193" max="7193" width="15" style="1" customWidth="1"/>
    <col min="7194" max="7198" width="8.83203125" style="1"/>
    <col min="7199" max="7199" width="17.1640625" style="1" customWidth="1"/>
    <col min="7200" max="7200" width="16" style="1" customWidth="1"/>
    <col min="7201" max="7201" width="9.6640625" style="1" customWidth="1"/>
    <col min="7202" max="7424" width="8.83203125" style="1"/>
    <col min="7425" max="7425" width="2.5" style="1" customWidth="1"/>
    <col min="7426" max="7426" width="2.33203125" style="1" customWidth="1"/>
    <col min="7427" max="7427" width="17.83203125" style="1" customWidth="1"/>
    <col min="7428" max="7428" width="10.5" style="1" customWidth="1"/>
    <col min="7429" max="7430" width="8" style="1" customWidth="1"/>
    <col min="7431" max="7431" width="9" style="1" customWidth="1"/>
    <col min="7432" max="7432" width="8.33203125" style="1" customWidth="1"/>
    <col min="7433" max="7433" width="11.5" style="1" customWidth="1"/>
    <col min="7434" max="7434" width="8.5" style="1" customWidth="1"/>
    <col min="7435" max="7435" width="7.5" style="1" customWidth="1"/>
    <col min="7436" max="7436" width="7" style="1" customWidth="1"/>
    <col min="7437" max="7437" width="7.6640625" style="1" customWidth="1"/>
    <col min="7438" max="7438" width="7.33203125" style="1" customWidth="1"/>
    <col min="7439" max="7439" width="8.1640625" style="1" customWidth="1"/>
    <col min="7440" max="7441" width="7.33203125" style="1" customWidth="1"/>
    <col min="7442" max="7443" width="7.5" style="1" customWidth="1"/>
    <col min="7444" max="7444" width="10.5" style="1" customWidth="1"/>
    <col min="7445" max="7445" width="8.1640625" style="1" customWidth="1"/>
    <col min="7446" max="7446" width="2.33203125" style="1" customWidth="1"/>
    <col min="7447" max="7447" width="15.5" style="1" customWidth="1"/>
    <col min="7448" max="7448" width="8.5" style="1" customWidth="1"/>
    <col min="7449" max="7449" width="15" style="1" customWidth="1"/>
    <col min="7450" max="7454" width="8.83203125" style="1"/>
    <col min="7455" max="7455" width="17.1640625" style="1" customWidth="1"/>
    <col min="7456" max="7456" width="16" style="1" customWidth="1"/>
    <col min="7457" max="7457" width="9.6640625" style="1" customWidth="1"/>
    <col min="7458" max="7680" width="8.83203125" style="1"/>
    <col min="7681" max="7681" width="2.5" style="1" customWidth="1"/>
    <col min="7682" max="7682" width="2.33203125" style="1" customWidth="1"/>
    <col min="7683" max="7683" width="17.83203125" style="1" customWidth="1"/>
    <col min="7684" max="7684" width="10.5" style="1" customWidth="1"/>
    <col min="7685" max="7686" width="8" style="1" customWidth="1"/>
    <col min="7687" max="7687" width="9" style="1" customWidth="1"/>
    <col min="7688" max="7688" width="8.33203125" style="1" customWidth="1"/>
    <col min="7689" max="7689" width="11.5" style="1" customWidth="1"/>
    <col min="7690" max="7690" width="8.5" style="1" customWidth="1"/>
    <col min="7691" max="7691" width="7.5" style="1" customWidth="1"/>
    <col min="7692" max="7692" width="7" style="1" customWidth="1"/>
    <col min="7693" max="7693" width="7.6640625" style="1" customWidth="1"/>
    <col min="7694" max="7694" width="7.33203125" style="1" customWidth="1"/>
    <col min="7695" max="7695" width="8.1640625" style="1" customWidth="1"/>
    <col min="7696" max="7697" width="7.33203125" style="1" customWidth="1"/>
    <col min="7698" max="7699" width="7.5" style="1" customWidth="1"/>
    <col min="7700" max="7700" width="10.5" style="1" customWidth="1"/>
    <col min="7701" max="7701" width="8.1640625" style="1" customWidth="1"/>
    <col min="7702" max="7702" width="2.33203125" style="1" customWidth="1"/>
    <col min="7703" max="7703" width="15.5" style="1" customWidth="1"/>
    <col min="7704" max="7704" width="8.5" style="1" customWidth="1"/>
    <col min="7705" max="7705" width="15" style="1" customWidth="1"/>
    <col min="7706" max="7710" width="8.83203125" style="1"/>
    <col min="7711" max="7711" width="17.1640625" style="1" customWidth="1"/>
    <col min="7712" max="7712" width="16" style="1" customWidth="1"/>
    <col min="7713" max="7713" width="9.6640625" style="1" customWidth="1"/>
    <col min="7714" max="7936" width="8.83203125" style="1"/>
    <col min="7937" max="7937" width="2.5" style="1" customWidth="1"/>
    <col min="7938" max="7938" width="2.33203125" style="1" customWidth="1"/>
    <col min="7939" max="7939" width="17.83203125" style="1" customWidth="1"/>
    <col min="7940" max="7940" width="10.5" style="1" customWidth="1"/>
    <col min="7941" max="7942" width="8" style="1" customWidth="1"/>
    <col min="7943" max="7943" width="9" style="1" customWidth="1"/>
    <col min="7944" max="7944" width="8.33203125" style="1" customWidth="1"/>
    <col min="7945" max="7945" width="11.5" style="1" customWidth="1"/>
    <col min="7946" max="7946" width="8.5" style="1" customWidth="1"/>
    <col min="7947" max="7947" width="7.5" style="1" customWidth="1"/>
    <col min="7948" max="7948" width="7" style="1" customWidth="1"/>
    <col min="7949" max="7949" width="7.6640625" style="1" customWidth="1"/>
    <col min="7950" max="7950" width="7.33203125" style="1" customWidth="1"/>
    <col min="7951" max="7951" width="8.1640625" style="1" customWidth="1"/>
    <col min="7952" max="7953" width="7.33203125" style="1" customWidth="1"/>
    <col min="7954" max="7955" width="7.5" style="1" customWidth="1"/>
    <col min="7956" max="7956" width="10.5" style="1" customWidth="1"/>
    <col min="7957" max="7957" width="8.1640625" style="1" customWidth="1"/>
    <col min="7958" max="7958" width="2.33203125" style="1" customWidth="1"/>
    <col min="7959" max="7959" width="15.5" style="1" customWidth="1"/>
    <col min="7960" max="7960" width="8.5" style="1" customWidth="1"/>
    <col min="7961" max="7961" width="15" style="1" customWidth="1"/>
    <col min="7962" max="7966" width="8.83203125" style="1"/>
    <col min="7967" max="7967" width="17.1640625" style="1" customWidth="1"/>
    <col min="7968" max="7968" width="16" style="1" customWidth="1"/>
    <col min="7969" max="7969" width="9.6640625" style="1" customWidth="1"/>
    <col min="7970" max="8192" width="8.83203125" style="1"/>
    <col min="8193" max="8193" width="2.5" style="1" customWidth="1"/>
    <col min="8194" max="8194" width="2.33203125" style="1" customWidth="1"/>
    <col min="8195" max="8195" width="17.83203125" style="1" customWidth="1"/>
    <col min="8196" max="8196" width="10.5" style="1" customWidth="1"/>
    <col min="8197" max="8198" width="8" style="1" customWidth="1"/>
    <col min="8199" max="8199" width="9" style="1" customWidth="1"/>
    <col min="8200" max="8200" width="8.33203125" style="1" customWidth="1"/>
    <col min="8201" max="8201" width="11.5" style="1" customWidth="1"/>
    <col min="8202" max="8202" width="8.5" style="1" customWidth="1"/>
    <col min="8203" max="8203" width="7.5" style="1" customWidth="1"/>
    <col min="8204" max="8204" width="7" style="1" customWidth="1"/>
    <col min="8205" max="8205" width="7.6640625" style="1" customWidth="1"/>
    <col min="8206" max="8206" width="7.33203125" style="1" customWidth="1"/>
    <col min="8207" max="8207" width="8.1640625" style="1" customWidth="1"/>
    <col min="8208" max="8209" width="7.33203125" style="1" customWidth="1"/>
    <col min="8210" max="8211" width="7.5" style="1" customWidth="1"/>
    <col min="8212" max="8212" width="10.5" style="1" customWidth="1"/>
    <col min="8213" max="8213" width="8.1640625" style="1" customWidth="1"/>
    <col min="8214" max="8214" width="2.33203125" style="1" customWidth="1"/>
    <col min="8215" max="8215" width="15.5" style="1" customWidth="1"/>
    <col min="8216" max="8216" width="8.5" style="1" customWidth="1"/>
    <col min="8217" max="8217" width="15" style="1" customWidth="1"/>
    <col min="8218" max="8222" width="8.83203125" style="1"/>
    <col min="8223" max="8223" width="17.1640625" style="1" customWidth="1"/>
    <col min="8224" max="8224" width="16" style="1" customWidth="1"/>
    <col min="8225" max="8225" width="9.6640625" style="1" customWidth="1"/>
    <col min="8226" max="8448" width="8.83203125" style="1"/>
    <col min="8449" max="8449" width="2.5" style="1" customWidth="1"/>
    <col min="8450" max="8450" width="2.33203125" style="1" customWidth="1"/>
    <col min="8451" max="8451" width="17.83203125" style="1" customWidth="1"/>
    <col min="8452" max="8452" width="10.5" style="1" customWidth="1"/>
    <col min="8453" max="8454" width="8" style="1" customWidth="1"/>
    <col min="8455" max="8455" width="9" style="1" customWidth="1"/>
    <col min="8456" max="8456" width="8.33203125" style="1" customWidth="1"/>
    <col min="8457" max="8457" width="11.5" style="1" customWidth="1"/>
    <col min="8458" max="8458" width="8.5" style="1" customWidth="1"/>
    <col min="8459" max="8459" width="7.5" style="1" customWidth="1"/>
    <col min="8460" max="8460" width="7" style="1" customWidth="1"/>
    <col min="8461" max="8461" width="7.6640625" style="1" customWidth="1"/>
    <col min="8462" max="8462" width="7.33203125" style="1" customWidth="1"/>
    <col min="8463" max="8463" width="8.1640625" style="1" customWidth="1"/>
    <col min="8464" max="8465" width="7.33203125" style="1" customWidth="1"/>
    <col min="8466" max="8467" width="7.5" style="1" customWidth="1"/>
    <col min="8468" max="8468" width="10.5" style="1" customWidth="1"/>
    <col min="8469" max="8469" width="8.1640625" style="1" customWidth="1"/>
    <col min="8470" max="8470" width="2.33203125" style="1" customWidth="1"/>
    <col min="8471" max="8471" width="15.5" style="1" customWidth="1"/>
    <col min="8472" max="8472" width="8.5" style="1" customWidth="1"/>
    <col min="8473" max="8473" width="15" style="1" customWidth="1"/>
    <col min="8474" max="8478" width="8.83203125" style="1"/>
    <col min="8479" max="8479" width="17.1640625" style="1" customWidth="1"/>
    <col min="8480" max="8480" width="16" style="1" customWidth="1"/>
    <col min="8481" max="8481" width="9.6640625" style="1" customWidth="1"/>
    <col min="8482" max="8704" width="8.83203125" style="1"/>
    <col min="8705" max="8705" width="2.5" style="1" customWidth="1"/>
    <col min="8706" max="8706" width="2.33203125" style="1" customWidth="1"/>
    <col min="8707" max="8707" width="17.83203125" style="1" customWidth="1"/>
    <col min="8708" max="8708" width="10.5" style="1" customWidth="1"/>
    <col min="8709" max="8710" width="8" style="1" customWidth="1"/>
    <col min="8711" max="8711" width="9" style="1" customWidth="1"/>
    <col min="8712" max="8712" width="8.33203125" style="1" customWidth="1"/>
    <col min="8713" max="8713" width="11.5" style="1" customWidth="1"/>
    <col min="8714" max="8714" width="8.5" style="1" customWidth="1"/>
    <col min="8715" max="8715" width="7.5" style="1" customWidth="1"/>
    <col min="8716" max="8716" width="7" style="1" customWidth="1"/>
    <col min="8717" max="8717" width="7.6640625" style="1" customWidth="1"/>
    <col min="8718" max="8718" width="7.33203125" style="1" customWidth="1"/>
    <col min="8719" max="8719" width="8.1640625" style="1" customWidth="1"/>
    <col min="8720" max="8721" width="7.33203125" style="1" customWidth="1"/>
    <col min="8722" max="8723" width="7.5" style="1" customWidth="1"/>
    <col min="8724" max="8724" width="10.5" style="1" customWidth="1"/>
    <col min="8725" max="8725" width="8.1640625" style="1" customWidth="1"/>
    <col min="8726" max="8726" width="2.33203125" style="1" customWidth="1"/>
    <col min="8727" max="8727" width="15.5" style="1" customWidth="1"/>
    <col min="8728" max="8728" width="8.5" style="1" customWidth="1"/>
    <col min="8729" max="8729" width="15" style="1" customWidth="1"/>
    <col min="8730" max="8734" width="8.83203125" style="1"/>
    <col min="8735" max="8735" width="17.1640625" style="1" customWidth="1"/>
    <col min="8736" max="8736" width="16" style="1" customWidth="1"/>
    <col min="8737" max="8737" width="9.6640625" style="1" customWidth="1"/>
    <col min="8738" max="8960" width="8.83203125" style="1"/>
    <col min="8961" max="8961" width="2.5" style="1" customWidth="1"/>
    <col min="8962" max="8962" width="2.33203125" style="1" customWidth="1"/>
    <col min="8963" max="8963" width="17.83203125" style="1" customWidth="1"/>
    <col min="8964" max="8964" width="10.5" style="1" customWidth="1"/>
    <col min="8965" max="8966" width="8" style="1" customWidth="1"/>
    <col min="8967" max="8967" width="9" style="1" customWidth="1"/>
    <col min="8968" max="8968" width="8.33203125" style="1" customWidth="1"/>
    <col min="8969" max="8969" width="11.5" style="1" customWidth="1"/>
    <col min="8970" max="8970" width="8.5" style="1" customWidth="1"/>
    <col min="8971" max="8971" width="7.5" style="1" customWidth="1"/>
    <col min="8972" max="8972" width="7" style="1" customWidth="1"/>
    <col min="8973" max="8973" width="7.6640625" style="1" customWidth="1"/>
    <col min="8974" max="8974" width="7.33203125" style="1" customWidth="1"/>
    <col min="8975" max="8975" width="8.1640625" style="1" customWidth="1"/>
    <col min="8976" max="8977" width="7.33203125" style="1" customWidth="1"/>
    <col min="8978" max="8979" width="7.5" style="1" customWidth="1"/>
    <col min="8980" max="8980" width="10.5" style="1" customWidth="1"/>
    <col min="8981" max="8981" width="8.1640625" style="1" customWidth="1"/>
    <col min="8982" max="8982" width="2.33203125" style="1" customWidth="1"/>
    <col min="8983" max="8983" width="15.5" style="1" customWidth="1"/>
    <col min="8984" max="8984" width="8.5" style="1" customWidth="1"/>
    <col min="8985" max="8985" width="15" style="1" customWidth="1"/>
    <col min="8986" max="8990" width="8.83203125" style="1"/>
    <col min="8991" max="8991" width="17.1640625" style="1" customWidth="1"/>
    <col min="8992" max="8992" width="16" style="1" customWidth="1"/>
    <col min="8993" max="8993" width="9.6640625" style="1" customWidth="1"/>
    <col min="8994" max="9216" width="8.83203125" style="1"/>
    <col min="9217" max="9217" width="2.5" style="1" customWidth="1"/>
    <col min="9218" max="9218" width="2.33203125" style="1" customWidth="1"/>
    <col min="9219" max="9219" width="17.83203125" style="1" customWidth="1"/>
    <col min="9220" max="9220" width="10.5" style="1" customWidth="1"/>
    <col min="9221" max="9222" width="8" style="1" customWidth="1"/>
    <col min="9223" max="9223" width="9" style="1" customWidth="1"/>
    <col min="9224" max="9224" width="8.33203125" style="1" customWidth="1"/>
    <col min="9225" max="9225" width="11.5" style="1" customWidth="1"/>
    <col min="9226" max="9226" width="8.5" style="1" customWidth="1"/>
    <col min="9227" max="9227" width="7.5" style="1" customWidth="1"/>
    <col min="9228" max="9228" width="7" style="1" customWidth="1"/>
    <col min="9229" max="9229" width="7.6640625" style="1" customWidth="1"/>
    <col min="9230" max="9230" width="7.33203125" style="1" customWidth="1"/>
    <col min="9231" max="9231" width="8.1640625" style="1" customWidth="1"/>
    <col min="9232" max="9233" width="7.33203125" style="1" customWidth="1"/>
    <col min="9234" max="9235" width="7.5" style="1" customWidth="1"/>
    <col min="9236" max="9236" width="10.5" style="1" customWidth="1"/>
    <col min="9237" max="9237" width="8.1640625" style="1" customWidth="1"/>
    <col min="9238" max="9238" width="2.33203125" style="1" customWidth="1"/>
    <col min="9239" max="9239" width="15.5" style="1" customWidth="1"/>
    <col min="9240" max="9240" width="8.5" style="1" customWidth="1"/>
    <col min="9241" max="9241" width="15" style="1" customWidth="1"/>
    <col min="9242" max="9246" width="8.83203125" style="1"/>
    <col min="9247" max="9247" width="17.1640625" style="1" customWidth="1"/>
    <col min="9248" max="9248" width="16" style="1" customWidth="1"/>
    <col min="9249" max="9249" width="9.6640625" style="1" customWidth="1"/>
    <col min="9250" max="9472" width="8.83203125" style="1"/>
    <col min="9473" max="9473" width="2.5" style="1" customWidth="1"/>
    <col min="9474" max="9474" width="2.33203125" style="1" customWidth="1"/>
    <col min="9475" max="9475" width="17.83203125" style="1" customWidth="1"/>
    <col min="9476" max="9476" width="10.5" style="1" customWidth="1"/>
    <col min="9477" max="9478" width="8" style="1" customWidth="1"/>
    <col min="9479" max="9479" width="9" style="1" customWidth="1"/>
    <col min="9480" max="9480" width="8.33203125" style="1" customWidth="1"/>
    <col min="9481" max="9481" width="11.5" style="1" customWidth="1"/>
    <col min="9482" max="9482" width="8.5" style="1" customWidth="1"/>
    <col min="9483" max="9483" width="7.5" style="1" customWidth="1"/>
    <col min="9484" max="9484" width="7" style="1" customWidth="1"/>
    <col min="9485" max="9485" width="7.6640625" style="1" customWidth="1"/>
    <col min="9486" max="9486" width="7.33203125" style="1" customWidth="1"/>
    <col min="9487" max="9487" width="8.1640625" style="1" customWidth="1"/>
    <col min="9488" max="9489" width="7.33203125" style="1" customWidth="1"/>
    <col min="9490" max="9491" width="7.5" style="1" customWidth="1"/>
    <col min="9492" max="9492" width="10.5" style="1" customWidth="1"/>
    <col min="9493" max="9493" width="8.1640625" style="1" customWidth="1"/>
    <col min="9494" max="9494" width="2.33203125" style="1" customWidth="1"/>
    <col min="9495" max="9495" width="15.5" style="1" customWidth="1"/>
    <col min="9496" max="9496" width="8.5" style="1" customWidth="1"/>
    <col min="9497" max="9497" width="15" style="1" customWidth="1"/>
    <col min="9498" max="9502" width="8.83203125" style="1"/>
    <col min="9503" max="9503" width="17.1640625" style="1" customWidth="1"/>
    <col min="9504" max="9504" width="16" style="1" customWidth="1"/>
    <col min="9505" max="9505" width="9.6640625" style="1" customWidth="1"/>
    <col min="9506" max="9728" width="8.83203125" style="1"/>
    <col min="9729" max="9729" width="2.5" style="1" customWidth="1"/>
    <col min="9730" max="9730" width="2.33203125" style="1" customWidth="1"/>
    <col min="9731" max="9731" width="17.83203125" style="1" customWidth="1"/>
    <col min="9732" max="9732" width="10.5" style="1" customWidth="1"/>
    <col min="9733" max="9734" width="8" style="1" customWidth="1"/>
    <col min="9735" max="9735" width="9" style="1" customWidth="1"/>
    <col min="9736" max="9736" width="8.33203125" style="1" customWidth="1"/>
    <col min="9737" max="9737" width="11.5" style="1" customWidth="1"/>
    <col min="9738" max="9738" width="8.5" style="1" customWidth="1"/>
    <col min="9739" max="9739" width="7.5" style="1" customWidth="1"/>
    <col min="9740" max="9740" width="7" style="1" customWidth="1"/>
    <col min="9741" max="9741" width="7.6640625" style="1" customWidth="1"/>
    <col min="9742" max="9742" width="7.33203125" style="1" customWidth="1"/>
    <col min="9743" max="9743" width="8.1640625" style="1" customWidth="1"/>
    <col min="9744" max="9745" width="7.33203125" style="1" customWidth="1"/>
    <col min="9746" max="9747" width="7.5" style="1" customWidth="1"/>
    <col min="9748" max="9748" width="10.5" style="1" customWidth="1"/>
    <col min="9749" max="9749" width="8.1640625" style="1" customWidth="1"/>
    <col min="9750" max="9750" width="2.33203125" style="1" customWidth="1"/>
    <col min="9751" max="9751" width="15.5" style="1" customWidth="1"/>
    <col min="9752" max="9752" width="8.5" style="1" customWidth="1"/>
    <col min="9753" max="9753" width="15" style="1" customWidth="1"/>
    <col min="9754" max="9758" width="8.83203125" style="1"/>
    <col min="9759" max="9759" width="17.1640625" style="1" customWidth="1"/>
    <col min="9760" max="9760" width="16" style="1" customWidth="1"/>
    <col min="9761" max="9761" width="9.6640625" style="1" customWidth="1"/>
    <col min="9762" max="9984" width="8.83203125" style="1"/>
    <col min="9985" max="9985" width="2.5" style="1" customWidth="1"/>
    <col min="9986" max="9986" width="2.33203125" style="1" customWidth="1"/>
    <col min="9987" max="9987" width="17.83203125" style="1" customWidth="1"/>
    <col min="9988" max="9988" width="10.5" style="1" customWidth="1"/>
    <col min="9989" max="9990" width="8" style="1" customWidth="1"/>
    <col min="9991" max="9991" width="9" style="1" customWidth="1"/>
    <col min="9992" max="9992" width="8.33203125" style="1" customWidth="1"/>
    <col min="9993" max="9993" width="11.5" style="1" customWidth="1"/>
    <col min="9994" max="9994" width="8.5" style="1" customWidth="1"/>
    <col min="9995" max="9995" width="7.5" style="1" customWidth="1"/>
    <col min="9996" max="9996" width="7" style="1" customWidth="1"/>
    <col min="9997" max="9997" width="7.6640625" style="1" customWidth="1"/>
    <col min="9998" max="9998" width="7.33203125" style="1" customWidth="1"/>
    <col min="9999" max="9999" width="8.1640625" style="1" customWidth="1"/>
    <col min="10000" max="10001" width="7.33203125" style="1" customWidth="1"/>
    <col min="10002" max="10003" width="7.5" style="1" customWidth="1"/>
    <col min="10004" max="10004" width="10.5" style="1" customWidth="1"/>
    <col min="10005" max="10005" width="8.1640625" style="1" customWidth="1"/>
    <col min="10006" max="10006" width="2.33203125" style="1" customWidth="1"/>
    <col min="10007" max="10007" width="15.5" style="1" customWidth="1"/>
    <col min="10008" max="10008" width="8.5" style="1" customWidth="1"/>
    <col min="10009" max="10009" width="15" style="1" customWidth="1"/>
    <col min="10010" max="10014" width="8.83203125" style="1"/>
    <col min="10015" max="10015" width="17.1640625" style="1" customWidth="1"/>
    <col min="10016" max="10016" width="16" style="1" customWidth="1"/>
    <col min="10017" max="10017" width="9.6640625" style="1" customWidth="1"/>
    <col min="10018" max="10240" width="8.83203125" style="1"/>
    <col min="10241" max="10241" width="2.5" style="1" customWidth="1"/>
    <col min="10242" max="10242" width="2.33203125" style="1" customWidth="1"/>
    <col min="10243" max="10243" width="17.83203125" style="1" customWidth="1"/>
    <col min="10244" max="10244" width="10.5" style="1" customWidth="1"/>
    <col min="10245" max="10246" width="8" style="1" customWidth="1"/>
    <col min="10247" max="10247" width="9" style="1" customWidth="1"/>
    <col min="10248" max="10248" width="8.33203125" style="1" customWidth="1"/>
    <col min="10249" max="10249" width="11.5" style="1" customWidth="1"/>
    <col min="10250" max="10250" width="8.5" style="1" customWidth="1"/>
    <col min="10251" max="10251" width="7.5" style="1" customWidth="1"/>
    <col min="10252" max="10252" width="7" style="1" customWidth="1"/>
    <col min="10253" max="10253" width="7.6640625" style="1" customWidth="1"/>
    <col min="10254" max="10254" width="7.33203125" style="1" customWidth="1"/>
    <col min="10255" max="10255" width="8.1640625" style="1" customWidth="1"/>
    <col min="10256" max="10257" width="7.33203125" style="1" customWidth="1"/>
    <col min="10258" max="10259" width="7.5" style="1" customWidth="1"/>
    <col min="10260" max="10260" width="10.5" style="1" customWidth="1"/>
    <col min="10261" max="10261" width="8.1640625" style="1" customWidth="1"/>
    <col min="10262" max="10262" width="2.33203125" style="1" customWidth="1"/>
    <col min="10263" max="10263" width="15.5" style="1" customWidth="1"/>
    <col min="10264" max="10264" width="8.5" style="1" customWidth="1"/>
    <col min="10265" max="10265" width="15" style="1" customWidth="1"/>
    <col min="10266" max="10270" width="8.83203125" style="1"/>
    <col min="10271" max="10271" width="17.1640625" style="1" customWidth="1"/>
    <col min="10272" max="10272" width="16" style="1" customWidth="1"/>
    <col min="10273" max="10273" width="9.6640625" style="1" customWidth="1"/>
    <col min="10274" max="10496" width="8.83203125" style="1"/>
    <col min="10497" max="10497" width="2.5" style="1" customWidth="1"/>
    <col min="10498" max="10498" width="2.33203125" style="1" customWidth="1"/>
    <col min="10499" max="10499" width="17.83203125" style="1" customWidth="1"/>
    <col min="10500" max="10500" width="10.5" style="1" customWidth="1"/>
    <col min="10501" max="10502" width="8" style="1" customWidth="1"/>
    <col min="10503" max="10503" width="9" style="1" customWidth="1"/>
    <col min="10504" max="10504" width="8.33203125" style="1" customWidth="1"/>
    <col min="10505" max="10505" width="11.5" style="1" customWidth="1"/>
    <col min="10506" max="10506" width="8.5" style="1" customWidth="1"/>
    <col min="10507" max="10507" width="7.5" style="1" customWidth="1"/>
    <col min="10508" max="10508" width="7" style="1" customWidth="1"/>
    <col min="10509" max="10509" width="7.6640625" style="1" customWidth="1"/>
    <col min="10510" max="10510" width="7.33203125" style="1" customWidth="1"/>
    <col min="10511" max="10511" width="8.1640625" style="1" customWidth="1"/>
    <col min="10512" max="10513" width="7.33203125" style="1" customWidth="1"/>
    <col min="10514" max="10515" width="7.5" style="1" customWidth="1"/>
    <col min="10516" max="10516" width="10.5" style="1" customWidth="1"/>
    <col min="10517" max="10517" width="8.1640625" style="1" customWidth="1"/>
    <col min="10518" max="10518" width="2.33203125" style="1" customWidth="1"/>
    <col min="10519" max="10519" width="15.5" style="1" customWidth="1"/>
    <col min="10520" max="10520" width="8.5" style="1" customWidth="1"/>
    <col min="10521" max="10521" width="15" style="1" customWidth="1"/>
    <col min="10522" max="10526" width="8.83203125" style="1"/>
    <col min="10527" max="10527" width="17.1640625" style="1" customWidth="1"/>
    <col min="10528" max="10528" width="16" style="1" customWidth="1"/>
    <col min="10529" max="10529" width="9.6640625" style="1" customWidth="1"/>
    <col min="10530" max="10752" width="8.83203125" style="1"/>
    <col min="10753" max="10753" width="2.5" style="1" customWidth="1"/>
    <col min="10754" max="10754" width="2.33203125" style="1" customWidth="1"/>
    <col min="10755" max="10755" width="17.83203125" style="1" customWidth="1"/>
    <col min="10756" max="10756" width="10.5" style="1" customWidth="1"/>
    <col min="10757" max="10758" width="8" style="1" customWidth="1"/>
    <col min="10759" max="10759" width="9" style="1" customWidth="1"/>
    <col min="10760" max="10760" width="8.33203125" style="1" customWidth="1"/>
    <col min="10761" max="10761" width="11.5" style="1" customWidth="1"/>
    <col min="10762" max="10762" width="8.5" style="1" customWidth="1"/>
    <col min="10763" max="10763" width="7.5" style="1" customWidth="1"/>
    <col min="10764" max="10764" width="7" style="1" customWidth="1"/>
    <col min="10765" max="10765" width="7.6640625" style="1" customWidth="1"/>
    <col min="10766" max="10766" width="7.33203125" style="1" customWidth="1"/>
    <col min="10767" max="10767" width="8.1640625" style="1" customWidth="1"/>
    <col min="10768" max="10769" width="7.33203125" style="1" customWidth="1"/>
    <col min="10770" max="10771" width="7.5" style="1" customWidth="1"/>
    <col min="10772" max="10772" width="10.5" style="1" customWidth="1"/>
    <col min="10773" max="10773" width="8.1640625" style="1" customWidth="1"/>
    <col min="10774" max="10774" width="2.33203125" style="1" customWidth="1"/>
    <col min="10775" max="10775" width="15.5" style="1" customWidth="1"/>
    <col min="10776" max="10776" width="8.5" style="1" customWidth="1"/>
    <col min="10777" max="10777" width="15" style="1" customWidth="1"/>
    <col min="10778" max="10782" width="8.83203125" style="1"/>
    <col min="10783" max="10783" width="17.1640625" style="1" customWidth="1"/>
    <col min="10784" max="10784" width="16" style="1" customWidth="1"/>
    <col min="10785" max="10785" width="9.6640625" style="1" customWidth="1"/>
    <col min="10786" max="11008" width="8.83203125" style="1"/>
    <col min="11009" max="11009" width="2.5" style="1" customWidth="1"/>
    <col min="11010" max="11010" width="2.33203125" style="1" customWidth="1"/>
    <col min="11011" max="11011" width="17.83203125" style="1" customWidth="1"/>
    <col min="11012" max="11012" width="10.5" style="1" customWidth="1"/>
    <col min="11013" max="11014" width="8" style="1" customWidth="1"/>
    <col min="11015" max="11015" width="9" style="1" customWidth="1"/>
    <col min="11016" max="11016" width="8.33203125" style="1" customWidth="1"/>
    <col min="11017" max="11017" width="11.5" style="1" customWidth="1"/>
    <col min="11018" max="11018" width="8.5" style="1" customWidth="1"/>
    <col min="11019" max="11019" width="7.5" style="1" customWidth="1"/>
    <col min="11020" max="11020" width="7" style="1" customWidth="1"/>
    <col min="11021" max="11021" width="7.6640625" style="1" customWidth="1"/>
    <col min="11022" max="11022" width="7.33203125" style="1" customWidth="1"/>
    <col min="11023" max="11023" width="8.1640625" style="1" customWidth="1"/>
    <col min="11024" max="11025" width="7.33203125" style="1" customWidth="1"/>
    <col min="11026" max="11027" width="7.5" style="1" customWidth="1"/>
    <col min="11028" max="11028" width="10.5" style="1" customWidth="1"/>
    <col min="11029" max="11029" width="8.1640625" style="1" customWidth="1"/>
    <col min="11030" max="11030" width="2.33203125" style="1" customWidth="1"/>
    <col min="11031" max="11031" width="15.5" style="1" customWidth="1"/>
    <col min="11032" max="11032" width="8.5" style="1" customWidth="1"/>
    <col min="11033" max="11033" width="15" style="1" customWidth="1"/>
    <col min="11034" max="11038" width="8.83203125" style="1"/>
    <col min="11039" max="11039" width="17.1640625" style="1" customWidth="1"/>
    <col min="11040" max="11040" width="16" style="1" customWidth="1"/>
    <col min="11041" max="11041" width="9.6640625" style="1" customWidth="1"/>
    <col min="11042" max="11264" width="8.83203125" style="1"/>
    <col min="11265" max="11265" width="2.5" style="1" customWidth="1"/>
    <col min="11266" max="11266" width="2.33203125" style="1" customWidth="1"/>
    <col min="11267" max="11267" width="17.83203125" style="1" customWidth="1"/>
    <col min="11268" max="11268" width="10.5" style="1" customWidth="1"/>
    <col min="11269" max="11270" width="8" style="1" customWidth="1"/>
    <col min="11271" max="11271" width="9" style="1" customWidth="1"/>
    <col min="11272" max="11272" width="8.33203125" style="1" customWidth="1"/>
    <col min="11273" max="11273" width="11.5" style="1" customWidth="1"/>
    <col min="11274" max="11274" width="8.5" style="1" customWidth="1"/>
    <col min="11275" max="11275" width="7.5" style="1" customWidth="1"/>
    <col min="11276" max="11276" width="7" style="1" customWidth="1"/>
    <col min="11277" max="11277" width="7.6640625" style="1" customWidth="1"/>
    <col min="11278" max="11278" width="7.33203125" style="1" customWidth="1"/>
    <col min="11279" max="11279" width="8.1640625" style="1" customWidth="1"/>
    <col min="11280" max="11281" width="7.33203125" style="1" customWidth="1"/>
    <col min="11282" max="11283" width="7.5" style="1" customWidth="1"/>
    <col min="11284" max="11284" width="10.5" style="1" customWidth="1"/>
    <col min="11285" max="11285" width="8.1640625" style="1" customWidth="1"/>
    <col min="11286" max="11286" width="2.33203125" style="1" customWidth="1"/>
    <col min="11287" max="11287" width="15.5" style="1" customWidth="1"/>
    <col min="11288" max="11288" width="8.5" style="1" customWidth="1"/>
    <col min="11289" max="11289" width="15" style="1" customWidth="1"/>
    <col min="11290" max="11294" width="8.83203125" style="1"/>
    <col min="11295" max="11295" width="17.1640625" style="1" customWidth="1"/>
    <col min="11296" max="11296" width="16" style="1" customWidth="1"/>
    <col min="11297" max="11297" width="9.6640625" style="1" customWidth="1"/>
    <col min="11298" max="11520" width="8.83203125" style="1"/>
    <col min="11521" max="11521" width="2.5" style="1" customWidth="1"/>
    <col min="11522" max="11522" width="2.33203125" style="1" customWidth="1"/>
    <col min="11523" max="11523" width="17.83203125" style="1" customWidth="1"/>
    <col min="11524" max="11524" width="10.5" style="1" customWidth="1"/>
    <col min="11525" max="11526" width="8" style="1" customWidth="1"/>
    <col min="11527" max="11527" width="9" style="1" customWidth="1"/>
    <col min="11528" max="11528" width="8.33203125" style="1" customWidth="1"/>
    <col min="11529" max="11529" width="11.5" style="1" customWidth="1"/>
    <col min="11530" max="11530" width="8.5" style="1" customWidth="1"/>
    <col min="11531" max="11531" width="7.5" style="1" customWidth="1"/>
    <col min="11532" max="11532" width="7" style="1" customWidth="1"/>
    <col min="11533" max="11533" width="7.6640625" style="1" customWidth="1"/>
    <col min="11534" max="11534" width="7.33203125" style="1" customWidth="1"/>
    <col min="11535" max="11535" width="8.1640625" style="1" customWidth="1"/>
    <col min="11536" max="11537" width="7.33203125" style="1" customWidth="1"/>
    <col min="11538" max="11539" width="7.5" style="1" customWidth="1"/>
    <col min="11540" max="11540" width="10.5" style="1" customWidth="1"/>
    <col min="11541" max="11541" width="8.1640625" style="1" customWidth="1"/>
    <col min="11542" max="11542" width="2.33203125" style="1" customWidth="1"/>
    <col min="11543" max="11543" width="15.5" style="1" customWidth="1"/>
    <col min="11544" max="11544" width="8.5" style="1" customWidth="1"/>
    <col min="11545" max="11545" width="15" style="1" customWidth="1"/>
    <col min="11546" max="11550" width="8.83203125" style="1"/>
    <col min="11551" max="11551" width="17.1640625" style="1" customWidth="1"/>
    <col min="11552" max="11552" width="16" style="1" customWidth="1"/>
    <col min="11553" max="11553" width="9.6640625" style="1" customWidth="1"/>
    <col min="11554" max="11776" width="8.83203125" style="1"/>
    <col min="11777" max="11777" width="2.5" style="1" customWidth="1"/>
    <col min="11778" max="11778" width="2.33203125" style="1" customWidth="1"/>
    <col min="11779" max="11779" width="17.83203125" style="1" customWidth="1"/>
    <col min="11780" max="11780" width="10.5" style="1" customWidth="1"/>
    <col min="11781" max="11782" width="8" style="1" customWidth="1"/>
    <col min="11783" max="11783" width="9" style="1" customWidth="1"/>
    <col min="11784" max="11784" width="8.33203125" style="1" customWidth="1"/>
    <col min="11785" max="11785" width="11.5" style="1" customWidth="1"/>
    <col min="11786" max="11786" width="8.5" style="1" customWidth="1"/>
    <col min="11787" max="11787" width="7.5" style="1" customWidth="1"/>
    <col min="11788" max="11788" width="7" style="1" customWidth="1"/>
    <col min="11789" max="11789" width="7.6640625" style="1" customWidth="1"/>
    <col min="11790" max="11790" width="7.33203125" style="1" customWidth="1"/>
    <col min="11791" max="11791" width="8.1640625" style="1" customWidth="1"/>
    <col min="11792" max="11793" width="7.33203125" style="1" customWidth="1"/>
    <col min="11794" max="11795" width="7.5" style="1" customWidth="1"/>
    <col min="11796" max="11796" width="10.5" style="1" customWidth="1"/>
    <col min="11797" max="11797" width="8.1640625" style="1" customWidth="1"/>
    <col min="11798" max="11798" width="2.33203125" style="1" customWidth="1"/>
    <col min="11799" max="11799" width="15.5" style="1" customWidth="1"/>
    <col min="11800" max="11800" width="8.5" style="1" customWidth="1"/>
    <col min="11801" max="11801" width="15" style="1" customWidth="1"/>
    <col min="11802" max="11806" width="8.83203125" style="1"/>
    <col min="11807" max="11807" width="17.1640625" style="1" customWidth="1"/>
    <col min="11808" max="11808" width="16" style="1" customWidth="1"/>
    <col min="11809" max="11809" width="9.6640625" style="1" customWidth="1"/>
    <col min="11810" max="12032" width="8.83203125" style="1"/>
    <col min="12033" max="12033" width="2.5" style="1" customWidth="1"/>
    <col min="12034" max="12034" width="2.33203125" style="1" customWidth="1"/>
    <col min="12035" max="12035" width="17.83203125" style="1" customWidth="1"/>
    <col min="12036" max="12036" width="10.5" style="1" customWidth="1"/>
    <col min="12037" max="12038" width="8" style="1" customWidth="1"/>
    <col min="12039" max="12039" width="9" style="1" customWidth="1"/>
    <col min="12040" max="12040" width="8.33203125" style="1" customWidth="1"/>
    <col min="12041" max="12041" width="11.5" style="1" customWidth="1"/>
    <col min="12042" max="12042" width="8.5" style="1" customWidth="1"/>
    <col min="12043" max="12043" width="7.5" style="1" customWidth="1"/>
    <col min="12044" max="12044" width="7" style="1" customWidth="1"/>
    <col min="12045" max="12045" width="7.6640625" style="1" customWidth="1"/>
    <col min="12046" max="12046" width="7.33203125" style="1" customWidth="1"/>
    <col min="12047" max="12047" width="8.1640625" style="1" customWidth="1"/>
    <col min="12048" max="12049" width="7.33203125" style="1" customWidth="1"/>
    <col min="12050" max="12051" width="7.5" style="1" customWidth="1"/>
    <col min="12052" max="12052" width="10.5" style="1" customWidth="1"/>
    <col min="12053" max="12053" width="8.1640625" style="1" customWidth="1"/>
    <col min="12054" max="12054" width="2.33203125" style="1" customWidth="1"/>
    <col min="12055" max="12055" width="15.5" style="1" customWidth="1"/>
    <col min="12056" max="12056" width="8.5" style="1" customWidth="1"/>
    <col min="12057" max="12057" width="15" style="1" customWidth="1"/>
    <col min="12058" max="12062" width="8.83203125" style="1"/>
    <col min="12063" max="12063" width="17.1640625" style="1" customWidth="1"/>
    <col min="12064" max="12064" width="16" style="1" customWidth="1"/>
    <col min="12065" max="12065" width="9.6640625" style="1" customWidth="1"/>
    <col min="12066" max="12288" width="8.83203125" style="1"/>
    <col min="12289" max="12289" width="2.5" style="1" customWidth="1"/>
    <col min="12290" max="12290" width="2.33203125" style="1" customWidth="1"/>
    <col min="12291" max="12291" width="17.83203125" style="1" customWidth="1"/>
    <col min="12292" max="12292" width="10.5" style="1" customWidth="1"/>
    <col min="12293" max="12294" width="8" style="1" customWidth="1"/>
    <col min="12295" max="12295" width="9" style="1" customWidth="1"/>
    <col min="12296" max="12296" width="8.33203125" style="1" customWidth="1"/>
    <col min="12297" max="12297" width="11.5" style="1" customWidth="1"/>
    <col min="12298" max="12298" width="8.5" style="1" customWidth="1"/>
    <col min="12299" max="12299" width="7.5" style="1" customWidth="1"/>
    <col min="12300" max="12300" width="7" style="1" customWidth="1"/>
    <col min="12301" max="12301" width="7.6640625" style="1" customWidth="1"/>
    <col min="12302" max="12302" width="7.33203125" style="1" customWidth="1"/>
    <col min="12303" max="12303" width="8.1640625" style="1" customWidth="1"/>
    <col min="12304" max="12305" width="7.33203125" style="1" customWidth="1"/>
    <col min="12306" max="12307" width="7.5" style="1" customWidth="1"/>
    <col min="12308" max="12308" width="10.5" style="1" customWidth="1"/>
    <col min="12309" max="12309" width="8.1640625" style="1" customWidth="1"/>
    <col min="12310" max="12310" width="2.33203125" style="1" customWidth="1"/>
    <col min="12311" max="12311" width="15.5" style="1" customWidth="1"/>
    <col min="12312" max="12312" width="8.5" style="1" customWidth="1"/>
    <col min="12313" max="12313" width="15" style="1" customWidth="1"/>
    <col min="12314" max="12318" width="8.83203125" style="1"/>
    <col min="12319" max="12319" width="17.1640625" style="1" customWidth="1"/>
    <col min="12320" max="12320" width="16" style="1" customWidth="1"/>
    <col min="12321" max="12321" width="9.6640625" style="1" customWidth="1"/>
    <col min="12322" max="12544" width="8.83203125" style="1"/>
    <col min="12545" max="12545" width="2.5" style="1" customWidth="1"/>
    <col min="12546" max="12546" width="2.33203125" style="1" customWidth="1"/>
    <col min="12547" max="12547" width="17.83203125" style="1" customWidth="1"/>
    <col min="12548" max="12548" width="10.5" style="1" customWidth="1"/>
    <col min="12549" max="12550" width="8" style="1" customWidth="1"/>
    <col min="12551" max="12551" width="9" style="1" customWidth="1"/>
    <col min="12552" max="12552" width="8.33203125" style="1" customWidth="1"/>
    <col min="12553" max="12553" width="11.5" style="1" customWidth="1"/>
    <col min="12554" max="12554" width="8.5" style="1" customWidth="1"/>
    <col min="12555" max="12555" width="7.5" style="1" customWidth="1"/>
    <col min="12556" max="12556" width="7" style="1" customWidth="1"/>
    <col min="12557" max="12557" width="7.6640625" style="1" customWidth="1"/>
    <col min="12558" max="12558" width="7.33203125" style="1" customWidth="1"/>
    <col min="12559" max="12559" width="8.1640625" style="1" customWidth="1"/>
    <col min="12560" max="12561" width="7.33203125" style="1" customWidth="1"/>
    <col min="12562" max="12563" width="7.5" style="1" customWidth="1"/>
    <col min="12564" max="12564" width="10.5" style="1" customWidth="1"/>
    <col min="12565" max="12565" width="8.1640625" style="1" customWidth="1"/>
    <col min="12566" max="12566" width="2.33203125" style="1" customWidth="1"/>
    <col min="12567" max="12567" width="15.5" style="1" customWidth="1"/>
    <col min="12568" max="12568" width="8.5" style="1" customWidth="1"/>
    <col min="12569" max="12569" width="15" style="1" customWidth="1"/>
    <col min="12570" max="12574" width="8.83203125" style="1"/>
    <col min="12575" max="12575" width="17.1640625" style="1" customWidth="1"/>
    <col min="12576" max="12576" width="16" style="1" customWidth="1"/>
    <col min="12577" max="12577" width="9.6640625" style="1" customWidth="1"/>
    <col min="12578" max="12800" width="8.83203125" style="1"/>
    <col min="12801" max="12801" width="2.5" style="1" customWidth="1"/>
    <col min="12802" max="12802" width="2.33203125" style="1" customWidth="1"/>
    <col min="12803" max="12803" width="17.83203125" style="1" customWidth="1"/>
    <col min="12804" max="12804" width="10.5" style="1" customWidth="1"/>
    <col min="12805" max="12806" width="8" style="1" customWidth="1"/>
    <col min="12807" max="12807" width="9" style="1" customWidth="1"/>
    <col min="12808" max="12808" width="8.33203125" style="1" customWidth="1"/>
    <col min="12809" max="12809" width="11.5" style="1" customWidth="1"/>
    <col min="12810" max="12810" width="8.5" style="1" customWidth="1"/>
    <col min="12811" max="12811" width="7.5" style="1" customWidth="1"/>
    <col min="12812" max="12812" width="7" style="1" customWidth="1"/>
    <col min="12813" max="12813" width="7.6640625" style="1" customWidth="1"/>
    <col min="12814" max="12814" width="7.33203125" style="1" customWidth="1"/>
    <col min="12815" max="12815" width="8.1640625" style="1" customWidth="1"/>
    <col min="12816" max="12817" width="7.33203125" style="1" customWidth="1"/>
    <col min="12818" max="12819" width="7.5" style="1" customWidth="1"/>
    <col min="12820" max="12820" width="10.5" style="1" customWidth="1"/>
    <col min="12821" max="12821" width="8.1640625" style="1" customWidth="1"/>
    <col min="12822" max="12822" width="2.33203125" style="1" customWidth="1"/>
    <col min="12823" max="12823" width="15.5" style="1" customWidth="1"/>
    <col min="12824" max="12824" width="8.5" style="1" customWidth="1"/>
    <col min="12825" max="12825" width="15" style="1" customWidth="1"/>
    <col min="12826" max="12830" width="8.83203125" style="1"/>
    <col min="12831" max="12831" width="17.1640625" style="1" customWidth="1"/>
    <col min="12832" max="12832" width="16" style="1" customWidth="1"/>
    <col min="12833" max="12833" width="9.6640625" style="1" customWidth="1"/>
    <col min="12834" max="13056" width="8.83203125" style="1"/>
    <col min="13057" max="13057" width="2.5" style="1" customWidth="1"/>
    <col min="13058" max="13058" width="2.33203125" style="1" customWidth="1"/>
    <col min="13059" max="13059" width="17.83203125" style="1" customWidth="1"/>
    <col min="13060" max="13060" width="10.5" style="1" customWidth="1"/>
    <col min="13061" max="13062" width="8" style="1" customWidth="1"/>
    <col min="13063" max="13063" width="9" style="1" customWidth="1"/>
    <col min="13064" max="13064" width="8.33203125" style="1" customWidth="1"/>
    <col min="13065" max="13065" width="11.5" style="1" customWidth="1"/>
    <col min="13066" max="13066" width="8.5" style="1" customWidth="1"/>
    <col min="13067" max="13067" width="7.5" style="1" customWidth="1"/>
    <col min="13068" max="13068" width="7" style="1" customWidth="1"/>
    <col min="13069" max="13069" width="7.6640625" style="1" customWidth="1"/>
    <col min="13070" max="13070" width="7.33203125" style="1" customWidth="1"/>
    <col min="13071" max="13071" width="8.1640625" style="1" customWidth="1"/>
    <col min="13072" max="13073" width="7.33203125" style="1" customWidth="1"/>
    <col min="13074" max="13075" width="7.5" style="1" customWidth="1"/>
    <col min="13076" max="13076" width="10.5" style="1" customWidth="1"/>
    <col min="13077" max="13077" width="8.1640625" style="1" customWidth="1"/>
    <col min="13078" max="13078" width="2.33203125" style="1" customWidth="1"/>
    <col min="13079" max="13079" width="15.5" style="1" customWidth="1"/>
    <col min="13080" max="13080" width="8.5" style="1" customWidth="1"/>
    <col min="13081" max="13081" width="15" style="1" customWidth="1"/>
    <col min="13082" max="13086" width="8.83203125" style="1"/>
    <col min="13087" max="13087" width="17.1640625" style="1" customWidth="1"/>
    <col min="13088" max="13088" width="16" style="1" customWidth="1"/>
    <col min="13089" max="13089" width="9.6640625" style="1" customWidth="1"/>
    <col min="13090" max="13312" width="8.83203125" style="1"/>
    <col min="13313" max="13313" width="2.5" style="1" customWidth="1"/>
    <col min="13314" max="13314" width="2.33203125" style="1" customWidth="1"/>
    <col min="13315" max="13315" width="17.83203125" style="1" customWidth="1"/>
    <col min="13316" max="13316" width="10.5" style="1" customWidth="1"/>
    <col min="13317" max="13318" width="8" style="1" customWidth="1"/>
    <col min="13319" max="13319" width="9" style="1" customWidth="1"/>
    <col min="13320" max="13320" width="8.33203125" style="1" customWidth="1"/>
    <col min="13321" max="13321" width="11.5" style="1" customWidth="1"/>
    <col min="13322" max="13322" width="8.5" style="1" customWidth="1"/>
    <col min="13323" max="13323" width="7.5" style="1" customWidth="1"/>
    <col min="13324" max="13324" width="7" style="1" customWidth="1"/>
    <col min="13325" max="13325" width="7.6640625" style="1" customWidth="1"/>
    <col min="13326" max="13326" width="7.33203125" style="1" customWidth="1"/>
    <col min="13327" max="13327" width="8.1640625" style="1" customWidth="1"/>
    <col min="13328" max="13329" width="7.33203125" style="1" customWidth="1"/>
    <col min="13330" max="13331" width="7.5" style="1" customWidth="1"/>
    <col min="13332" max="13332" width="10.5" style="1" customWidth="1"/>
    <col min="13333" max="13333" width="8.1640625" style="1" customWidth="1"/>
    <col min="13334" max="13334" width="2.33203125" style="1" customWidth="1"/>
    <col min="13335" max="13335" width="15.5" style="1" customWidth="1"/>
    <col min="13336" max="13336" width="8.5" style="1" customWidth="1"/>
    <col min="13337" max="13337" width="15" style="1" customWidth="1"/>
    <col min="13338" max="13342" width="8.83203125" style="1"/>
    <col min="13343" max="13343" width="17.1640625" style="1" customWidth="1"/>
    <col min="13344" max="13344" width="16" style="1" customWidth="1"/>
    <col min="13345" max="13345" width="9.6640625" style="1" customWidth="1"/>
    <col min="13346" max="13568" width="8.83203125" style="1"/>
    <col min="13569" max="13569" width="2.5" style="1" customWidth="1"/>
    <col min="13570" max="13570" width="2.33203125" style="1" customWidth="1"/>
    <col min="13571" max="13571" width="17.83203125" style="1" customWidth="1"/>
    <col min="13572" max="13572" width="10.5" style="1" customWidth="1"/>
    <col min="13573" max="13574" width="8" style="1" customWidth="1"/>
    <col min="13575" max="13575" width="9" style="1" customWidth="1"/>
    <col min="13576" max="13576" width="8.33203125" style="1" customWidth="1"/>
    <col min="13577" max="13577" width="11.5" style="1" customWidth="1"/>
    <col min="13578" max="13578" width="8.5" style="1" customWidth="1"/>
    <col min="13579" max="13579" width="7.5" style="1" customWidth="1"/>
    <col min="13580" max="13580" width="7" style="1" customWidth="1"/>
    <col min="13581" max="13581" width="7.6640625" style="1" customWidth="1"/>
    <col min="13582" max="13582" width="7.33203125" style="1" customWidth="1"/>
    <col min="13583" max="13583" width="8.1640625" style="1" customWidth="1"/>
    <col min="13584" max="13585" width="7.33203125" style="1" customWidth="1"/>
    <col min="13586" max="13587" width="7.5" style="1" customWidth="1"/>
    <col min="13588" max="13588" width="10.5" style="1" customWidth="1"/>
    <col min="13589" max="13589" width="8.1640625" style="1" customWidth="1"/>
    <col min="13590" max="13590" width="2.33203125" style="1" customWidth="1"/>
    <col min="13591" max="13591" width="15.5" style="1" customWidth="1"/>
    <col min="13592" max="13592" width="8.5" style="1" customWidth="1"/>
    <col min="13593" max="13593" width="15" style="1" customWidth="1"/>
    <col min="13594" max="13598" width="8.83203125" style="1"/>
    <col min="13599" max="13599" width="17.1640625" style="1" customWidth="1"/>
    <col min="13600" max="13600" width="16" style="1" customWidth="1"/>
    <col min="13601" max="13601" width="9.6640625" style="1" customWidth="1"/>
    <col min="13602" max="13824" width="8.83203125" style="1"/>
    <col min="13825" max="13825" width="2.5" style="1" customWidth="1"/>
    <col min="13826" max="13826" width="2.33203125" style="1" customWidth="1"/>
    <col min="13827" max="13827" width="17.83203125" style="1" customWidth="1"/>
    <col min="13828" max="13828" width="10.5" style="1" customWidth="1"/>
    <col min="13829" max="13830" width="8" style="1" customWidth="1"/>
    <col min="13831" max="13831" width="9" style="1" customWidth="1"/>
    <col min="13832" max="13832" width="8.33203125" style="1" customWidth="1"/>
    <col min="13833" max="13833" width="11.5" style="1" customWidth="1"/>
    <col min="13834" max="13834" width="8.5" style="1" customWidth="1"/>
    <col min="13835" max="13835" width="7.5" style="1" customWidth="1"/>
    <col min="13836" max="13836" width="7" style="1" customWidth="1"/>
    <col min="13837" max="13837" width="7.6640625" style="1" customWidth="1"/>
    <col min="13838" max="13838" width="7.33203125" style="1" customWidth="1"/>
    <col min="13839" max="13839" width="8.1640625" style="1" customWidth="1"/>
    <col min="13840" max="13841" width="7.33203125" style="1" customWidth="1"/>
    <col min="13842" max="13843" width="7.5" style="1" customWidth="1"/>
    <col min="13844" max="13844" width="10.5" style="1" customWidth="1"/>
    <col min="13845" max="13845" width="8.1640625" style="1" customWidth="1"/>
    <col min="13846" max="13846" width="2.33203125" style="1" customWidth="1"/>
    <col min="13847" max="13847" width="15.5" style="1" customWidth="1"/>
    <col min="13848" max="13848" width="8.5" style="1" customWidth="1"/>
    <col min="13849" max="13849" width="15" style="1" customWidth="1"/>
    <col min="13850" max="13854" width="8.83203125" style="1"/>
    <col min="13855" max="13855" width="17.1640625" style="1" customWidth="1"/>
    <col min="13856" max="13856" width="16" style="1" customWidth="1"/>
    <col min="13857" max="13857" width="9.6640625" style="1" customWidth="1"/>
    <col min="13858" max="14080" width="8.83203125" style="1"/>
    <col min="14081" max="14081" width="2.5" style="1" customWidth="1"/>
    <col min="14082" max="14082" width="2.33203125" style="1" customWidth="1"/>
    <col min="14083" max="14083" width="17.83203125" style="1" customWidth="1"/>
    <col min="14084" max="14084" width="10.5" style="1" customWidth="1"/>
    <col min="14085" max="14086" width="8" style="1" customWidth="1"/>
    <col min="14087" max="14087" width="9" style="1" customWidth="1"/>
    <col min="14088" max="14088" width="8.33203125" style="1" customWidth="1"/>
    <col min="14089" max="14089" width="11.5" style="1" customWidth="1"/>
    <col min="14090" max="14090" width="8.5" style="1" customWidth="1"/>
    <col min="14091" max="14091" width="7.5" style="1" customWidth="1"/>
    <col min="14092" max="14092" width="7" style="1" customWidth="1"/>
    <col min="14093" max="14093" width="7.6640625" style="1" customWidth="1"/>
    <col min="14094" max="14094" width="7.33203125" style="1" customWidth="1"/>
    <col min="14095" max="14095" width="8.1640625" style="1" customWidth="1"/>
    <col min="14096" max="14097" width="7.33203125" style="1" customWidth="1"/>
    <col min="14098" max="14099" width="7.5" style="1" customWidth="1"/>
    <col min="14100" max="14100" width="10.5" style="1" customWidth="1"/>
    <col min="14101" max="14101" width="8.1640625" style="1" customWidth="1"/>
    <col min="14102" max="14102" width="2.33203125" style="1" customWidth="1"/>
    <col min="14103" max="14103" width="15.5" style="1" customWidth="1"/>
    <col min="14104" max="14104" width="8.5" style="1" customWidth="1"/>
    <col min="14105" max="14105" width="15" style="1" customWidth="1"/>
    <col min="14106" max="14110" width="8.83203125" style="1"/>
    <col min="14111" max="14111" width="17.1640625" style="1" customWidth="1"/>
    <col min="14112" max="14112" width="16" style="1" customWidth="1"/>
    <col min="14113" max="14113" width="9.6640625" style="1" customWidth="1"/>
    <col min="14114" max="14336" width="8.83203125" style="1"/>
    <col min="14337" max="14337" width="2.5" style="1" customWidth="1"/>
    <col min="14338" max="14338" width="2.33203125" style="1" customWidth="1"/>
    <col min="14339" max="14339" width="17.83203125" style="1" customWidth="1"/>
    <col min="14340" max="14340" width="10.5" style="1" customWidth="1"/>
    <col min="14341" max="14342" width="8" style="1" customWidth="1"/>
    <col min="14343" max="14343" width="9" style="1" customWidth="1"/>
    <col min="14344" max="14344" width="8.33203125" style="1" customWidth="1"/>
    <col min="14345" max="14345" width="11.5" style="1" customWidth="1"/>
    <col min="14346" max="14346" width="8.5" style="1" customWidth="1"/>
    <col min="14347" max="14347" width="7.5" style="1" customWidth="1"/>
    <col min="14348" max="14348" width="7" style="1" customWidth="1"/>
    <col min="14349" max="14349" width="7.6640625" style="1" customWidth="1"/>
    <col min="14350" max="14350" width="7.33203125" style="1" customWidth="1"/>
    <col min="14351" max="14351" width="8.1640625" style="1" customWidth="1"/>
    <col min="14352" max="14353" width="7.33203125" style="1" customWidth="1"/>
    <col min="14354" max="14355" width="7.5" style="1" customWidth="1"/>
    <col min="14356" max="14356" width="10.5" style="1" customWidth="1"/>
    <col min="14357" max="14357" width="8.1640625" style="1" customWidth="1"/>
    <col min="14358" max="14358" width="2.33203125" style="1" customWidth="1"/>
    <col min="14359" max="14359" width="15.5" style="1" customWidth="1"/>
    <col min="14360" max="14360" width="8.5" style="1" customWidth="1"/>
    <col min="14361" max="14361" width="15" style="1" customWidth="1"/>
    <col min="14362" max="14366" width="8.83203125" style="1"/>
    <col min="14367" max="14367" width="17.1640625" style="1" customWidth="1"/>
    <col min="14368" max="14368" width="16" style="1" customWidth="1"/>
    <col min="14369" max="14369" width="9.6640625" style="1" customWidth="1"/>
    <col min="14370" max="14592" width="8.83203125" style="1"/>
    <col min="14593" max="14593" width="2.5" style="1" customWidth="1"/>
    <col min="14594" max="14594" width="2.33203125" style="1" customWidth="1"/>
    <col min="14595" max="14595" width="17.83203125" style="1" customWidth="1"/>
    <col min="14596" max="14596" width="10.5" style="1" customWidth="1"/>
    <col min="14597" max="14598" width="8" style="1" customWidth="1"/>
    <col min="14599" max="14599" width="9" style="1" customWidth="1"/>
    <col min="14600" max="14600" width="8.33203125" style="1" customWidth="1"/>
    <col min="14601" max="14601" width="11.5" style="1" customWidth="1"/>
    <col min="14602" max="14602" width="8.5" style="1" customWidth="1"/>
    <col min="14603" max="14603" width="7.5" style="1" customWidth="1"/>
    <col min="14604" max="14604" width="7" style="1" customWidth="1"/>
    <col min="14605" max="14605" width="7.6640625" style="1" customWidth="1"/>
    <col min="14606" max="14606" width="7.33203125" style="1" customWidth="1"/>
    <col min="14607" max="14607" width="8.1640625" style="1" customWidth="1"/>
    <col min="14608" max="14609" width="7.33203125" style="1" customWidth="1"/>
    <col min="14610" max="14611" width="7.5" style="1" customWidth="1"/>
    <col min="14612" max="14612" width="10.5" style="1" customWidth="1"/>
    <col min="14613" max="14613" width="8.1640625" style="1" customWidth="1"/>
    <col min="14614" max="14614" width="2.33203125" style="1" customWidth="1"/>
    <col min="14615" max="14615" width="15.5" style="1" customWidth="1"/>
    <col min="14616" max="14616" width="8.5" style="1" customWidth="1"/>
    <col min="14617" max="14617" width="15" style="1" customWidth="1"/>
    <col min="14618" max="14622" width="8.83203125" style="1"/>
    <col min="14623" max="14623" width="17.1640625" style="1" customWidth="1"/>
    <col min="14624" max="14624" width="16" style="1" customWidth="1"/>
    <col min="14625" max="14625" width="9.6640625" style="1" customWidth="1"/>
    <col min="14626" max="14848" width="8.83203125" style="1"/>
    <col min="14849" max="14849" width="2.5" style="1" customWidth="1"/>
    <col min="14850" max="14850" width="2.33203125" style="1" customWidth="1"/>
    <col min="14851" max="14851" width="17.83203125" style="1" customWidth="1"/>
    <col min="14852" max="14852" width="10.5" style="1" customWidth="1"/>
    <col min="14853" max="14854" width="8" style="1" customWidth="1"/>
    <col min="14855" max="14855" width="9" style="1" customWidth="1"/>
    <col min="14856" max="14856" width="8.33203125" style="1" customWidth="1"/>
    <col min="14857" max="14857" width="11.5" style="1" customWidth="1"/>
    <col min="14858" max="14858" width="8.5" style="1" customWidth="1"/>
    <col min="14859" max="14859" width="7.5" style="1" customWidth="1"/>
    <col min="14860" max="14860" width="7" style="1" customWidth="1"/>
    <col min="14861" max="14861" width="7.6640625" style="1" customWidth="1"/>
    <col min="14862" max="14862" width="7.33203125" style="1" customWidth="1"/>
    <col min="14863" max="14863" width="8.1640625" style="1" customWidth="1"/>
    <col min="14864" max="14865" width="7.33203125" style="1" customWidth="1"/>
    <col min="14866" max="14867" width="7.5" style="1" customWidth="1"/>
    <col min="14868" max="14868" width="10.5" style="1" customWidth="1"/>
    <col min="14869" max="14869" width="8.1640625" style="1" customWidth="1"/>
    <col min="14870" max="14870" width="2.33203125" style="1" customWidth="1"/>
    <col min="14871" max="14871" width="15.5" style="1" customWidth="1"/>
    <col min="14872" max="14872" width="8.5" style="1" customWidth="1"/>
    <col min="14873" max="14873" width="15" style="1" customWidth="1"/>
    <col min="14874" max="14878" width="8.83203125" style="1"/>
    <col min="14879" max="14879" width="17.1640625" style="1" customWidth="1"/>
    <col min="14880" max="14880" width="16" style="1" customWidth="1"/>
    <col min="14881" max="14881" width="9.6640625" style="1" customWidth="1"/>
    <col min="14882" max="15104" width="8.83203125" style="1"/>
    <col min="15105" max="15105" width="2.5" style="1" customWidth="1"/>
    <col min="15106" max="15106" width="2.33203125" style="1" customWidth="1"/>
    <col min="15107" max="15107" width="17.83203125" style="1" customWidth="1"/>
    <col min="15108" max="15108" width="10.5" style="1" customWidth="1"/>
    <col min="15109" max="15110" width="8" style="1" customWidth="1"/>
    <col min="15111" max="15111" width="9" style="1" customWidth="1"/>
    <col min="15112" max="15112" width="8.33203125" style="1" customWidth="1"/>
    <col min="15113" max="15113" width="11.5" style="1" customWidth="1"/>
    <col min="15114" max="15114" width="8.5" style="1" customWidth="1"/>
    <col min="15115" max="15115" width="7.5" style="1" customWidth="1"/>
    <col min="15116" max="15116" width="7" style="1" customWidth="1"/>
    <col min="15117" max="15117" width="7.6640625" style="1" customWidth="1"/>
    <col min="15118" max="15118" width="7.33203125" style="1" customWidth="1"/>
    <col min="15119" max="15119" width="8.1640625" style="1" customWidth="1"/>
    <col min="15120" max="15121" width="7.33203125" style="1" customWidth="1"/>
    <col min="15122" max="15123" width="7.5" style="1" customWidth="1"/>
    <col min="15124" max="15124" width="10.5" style="1" customWidth="1"/>
    <col min="15125" max="15125" width="8.1640625" style="1" customWidth="1"/>
    <col min="15126" max="15126" width="2.33203125" style="1" customWidth="1"/>
    <col min="15127" max="15127" width="15.5" style="1" customWidth="1"/>
    <col min="15128" max="15128" width="8.5" style="1" customWidth="1"/>
    <col min="15129" max="15129" width="15" style="1" customWidth="1"/>
    <col min="15130" max="15134" width="8.83203125" style="1"/>
    <col min="15135" max="15135" width="17.1640625" style="1" customWidth="1"/>
    <col min="15136" max="15136" width="16" style="1" customWidth="1"/>
    <col min="15137" max="15137" width="9.6640625" style="1" customWidth="1"/>
    <col min="15138" max="15360" width="8.83203125" style="1"/>
    <col min="15361" max="15361" width="2.5" style="1" customWidth="1"/>
    <col min="15362" max="15362" width="2.33203125" style="1" customWidth="1"/>
    <col min="15363" max="15363" width="17.83203125" style="1" customWidth="1"/>
    <col min="15364" max="15364" width="10.5" style="1" customWidth="1"/>
    <col min="15365" max="15366" width="8" style="1" customWidth="1"/>
    <col min="15367" max="15367" width="9" style="1" customWidth="1"/>
    <col min="15368" max="15368" width="8.33203125" style="1" customWidth="1"/>
    <col min="15369" max="15369" width="11.5" style="1" customWidth="1"/>
    <col min="15370" max="15370" width="8.5" style="1" customWidth="1"/>
    <col min="15371" max="15371" width="7.5" style="1" customWidth="1"/>
    <col min="15372" max="15372" width="7" style="1" customWidth="1"/>
    <col min="15373" max="15373" width="7.6640625" style="1" customWidth="1"/>
    <col min="15374" max="15374" width="7.33203125" style="1" customWidth="1"/>
    <col min="15375" max="15375" width="8.1640625" style="1" customWidth="1"/>
    <col min="15376" max="15377" width="7.33203125" style="1" customWidth="1"/>
    <col min="15378" max="15379" width="7.5" style="1" customWidth="1"/>
    <col min="15380" max="15380" width="10.5" style="1" customWidth="1"/>
    <col min="15381" max="15381" width="8.1640625" style="1" customWidth="1"/>
    <col min="15382" max="15382" width="2.33203125" style="1" customWidth="1"/>
    <col min="15383" max="15383" width="15.5" style="1" customWidth="1"/>
    <col min="15384" max="15384" width="8.5" style="1" customWidth="1"/>
    <col min="15385" max="15385" width="15" style="1" customWidth="1"/>
    <col min="15386" max="15390" width="8.83203125" style="1"/>
    <col min="15391" max="15391" width="17.1640625" style="1" customWidth="1"/>
    <col min="15392" max="15392" width="16" style="1" customWidth="1"/>
    <col min="15393" max="15393" width="9.6640625" style="1" customWidth="1"/>
    <col min="15394" max="15616" width="8.83203125" style="1"/>
    <col min="15617" max="15617" width="2.5" style="1" customWidth="1"/>
    <col min="15618" max="15618" width="2.33203125" style="1" customWidth="1"/>
    <col min="15619" max="15619" width="17.83203125" style="1" customWidth="1"/>
    <col min="15620" max="15620" width="10.5" style="1" customWidth="1"/>
    <col min="15621" max="15622" width="8" style="1" customWidth="1"/>
    <col min="15623" max="15623" width="9" style="1" customWidth="1"/>
    <col min="15624" max="15624" width="8.33203125" style="1" customWidth="1"/>
    <col min="15625" max="15625" width="11.5" style="1" customWidth="1"/>
    <col min="15626" max="15626" width="8.5" style="1" customWidth="1"/>
    <col min="15627" max="15627" width="7.5" style="1" customWidth="1"/>
    <col min="15628" max="15628" width="7" style="1" customWidth="1"/>
    <col min="15629" max="15629" width="7.6640625" style="1" customWidth="1"/>
    <col min="15630" max="15630" width="7.33203125" style="1" customWidth="1"/>
    <col min="15631" max="15631" width="8.1640625" style="1" customWidth="1"/>
    <col min="15632" max="15633" width="7.33203125" style="1" customWidth="1"/>
    <col min="15634" max="15635" width="7.5" style="1" customWidth="1"/>
    <col min="15636" max="15636" width="10.5" style="1" customWidth="1"/>
    <col min="15637" max="15637" width="8.1640625" style="1" customWidth="1"/>
    <col min="15638" max="15638" width="2.33203125" style="1" customWidth="1"/>
    <col min="15639" max="15639" width="15.5" style="1" customWidth="1"/>
    <col min="15640" max="15640" width="8.5" style="1" customWidth="1"/>
    <col min="15641" max="15641" width="15" style="1" customWidth="1"/>
    <col min="15642" max="15646" width="8.83203125" style="1"/>
    <col min="15647" max="15647" width="17.1640625" style="1" customWidth="1"/>
    <col min="15648" max="15648" width="16" style="1" customWidth="1"/>
    <col min="15649" max="15649" width="9.6640625" style="1" customWidth="1"/>
    <col min="15650" max="15872" width="8.83203125" style="1"/>
    <col min="15873" max="15873" width="2.5" style="1" customWidth="1"/>
    <col min="15874" max="15874" width="2.33203125" style="1" customWidth="1"/>
    <col min="15875" max="15875" width="17.83203125" style="1" customWidth="1"/>
    <col min="15876" max="15876" width="10.5" style="1" customWidth="1"/>
    <col min="15877" max="15878" width="8" style="1" customWidth="1"/>
    <col min="15879" max="15879" width="9" style="1" customWidth="1"/>
    <col min="15880" max="15880" width="8.33203125" style="1" customWidth="1"/>
    <col min="15881" max="15881" width="11.5" style="1" customWidth="1"/>
    <col min="15882" max="15882" width="8.5" style="1" customWidth="1"/>
    <col min="15883" max="15883" width="7.5" style="1" customWidth="1"/>
    <col min="15884" max="15884" width="7" style="1" customWidth="1"/>
    <col min="15885" max="15885" width="7.6640625" style="1" customWidth="1"/>
    <col min="15886" max="15886" width="7.33203125" style="1" customWidth="1"/>
    <col min="15887" max="15887" width="8.1640625" style="1" customWidth="1"/>
    <col min="15888" max="15889" width="7.33203125" style="1" customWidth="1"/>
    <col min="15890" max="15891" width="7.5" style="1" customWidth="1"/>
    <col min="15892" max="15892" width="10.5" style="1" customWidth="1"/>
    <col min="15893" max="15893" width="8.1640625" style="1" customWidth="1"/>
    <col min="15894" max="15894" width="2.33203125" style="1" customWidth="1"/>
    <col min="15895" max="15895" width="15.5" style="1" customWidth="1"/>
    <col min="15896" max="15896" width="8.5" style="1" customWidth="1"/>
    <col min="15897" max="15897" width="15" style="1" customWidth="1"/>
    <col min="15898" max="15902" width="8.83203125" style="1"/>
    <col min="15903" max="15903" width="17.1640625" style="1" customWidth="1"/>
    <col min="15904" max="15904" width="16" style="1" customWidth="1"/>
    <col min="15905" max="15905" width="9.6640625" style="1" customWidth="1"/>
    <col min="15906" max="16128" width="8.83203125" style="1"/>
    <col min="16129" max="16129" width="2.5" style="1" customWidth="1"/>
    <col min="16130" max="16130" width="2.33203125" style="1" customWidth="1"/>
    <col min="16131" max="16131" width="17.83203125" style="1" customWidth="1"/>
    <col min="16132" max="16132" width="10.5" style="1" customWidth="1"/>
    <col min="16133" max="16134" width="8" style="1" customWidth="1"/>
    <col min="16135" max="16135" width="9" style="1" customWidth="1"/>
    <col min="16136" max="16136" width="8.33203125" style="1" customWidth="1"/>
    <col min="16137" max="16137" width="11.5" style="1" customWidth="1"/>
    <col min="16138" max="16138" width="8.5" style="1" customWidth="1"/>
    <col min="16139" max="16139" width="7.5" style="1" customWidth="1"/>
    <col min="16140" max="16140" width="7" style="1" customWidth="1"/>
    <col min="16141" max="16141" width="7.6640625" style="1" customWidth="1"/>
    <col min="16142" max="16142" width="7.33203125" style="1" customWidth="1"/>
    <col min="16143" max="16143" width="8.1640625" style="1" customWidth="1"/>
    <col min="16144" max="16145" width="7.33203125" style="1" customWidth="1"/>
    <col min="16146" max="16147" width="7.5" style="1" customWidth="1"/>
    <col min="16148" max="16148" width="10.5" style="1" customWidth="1"/>
    <col min="16149" max="16149" width="8.1640625" style="1" customWidth="1"/>
    <col min="16150" max="16150" width="2.33203125" style="1" customWidth="1"/>
    <col min="16151" max="16151" width="15.5" style="1" customWidth="1"/>
    <col min="16152" max="16152" width="8.5" style="1" customWidth="1"/>
    <col min="16153" max="16153" width="15" style="1" customWidth="1"/>
    <col min="16154" max="16158" width="8.83203125" style="1"/>
    <col min="16159" max="16159" width="17.1640625" style="1" customWidth="1"/>
    <col min="16160" max="16160" width="16" style="1" customWidth="1"/>
    <col min="16161" max="16161" width="9.6640625" style="1" customWidth="1"/>
    <col min="16162" max="16384" width="8.83203125" style="1"/>
  </cols>
  <sheetData>
    <row r="2" spans="1:34" ht="15" x14ac:dyDescent="0.15">
      <c r="C2" s="208"/>
      <c r="D2" s="209"/>
    </row>
    <row r="3" spans="1:34" ht="14" thickBot="1" x14ac:dyDescent="0.2">
      <c r="B3" s="184">
        <v>2.5</v>
      </c>
      <c r="C3" s="9">
        <v>26</v>
      </c>
      <c r="D3" s="9">
        <v>11</v>
      </c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4">
        <v>2.5</v>
      </c>
      <c r="W3" s="9"/>
      <c r="X3" s="9"/>
      <c r="Y3" s="184"/>
    </row>
    <row r="4" spans="1:34" ht="11" customHeight="1" x14ac:dyDescent="0.15">
      <c r="B4" s="255"/>
      <c r="C4" s="231"/>
      <c r="D4" s="232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56"/>
    </row>
    <row r="5" spans="1:34" ht="11" customHeight="1" x14ac:dyDescent="0.15">
      <c r="B5" s="257"/>
      <c r="C5" s="236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54" t="s">
        <v>457</v>
      </c>
      <c r="V5" s="258"/>
    </row>
    <row r="6" spans="1:34" ht="11" customHeight="1" x14ac:dyDescent="0.15">
      <c r="B6" s="257"/>
      <c r="C6" s="236"/>
      <c r="D6" s="239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58"/>
    </row>
    <row r="7" spans="1:34" ht="11" customHeight="1" x14ac:dyDescent="0.15">
      <c r="B7" s="257"/>
      <c r="C7" s="236"/>
      <c r="D7" s="77" t="s">
        <v>458</v>
      </c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1"/>
      <c r="V7" s="258"/>
    </row>
    <row r="8" spans="1:34" ht="11" customHeight="1" x14ac:dyDescent="0.15">
      <c r="A8" s="2"/>
      <c r="B8" s="257"/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  <c r="U8" s="237"/>
      <c r="V8" s="258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</row>
    <row r="9" spans="1:34" ht="14.5" customHeight="1" thickBot="1" x14ac:dyDescent="0.2">
      <c r="B9" s="259"/>
      <c r="C9" s="210" t="s">
        <v>402</v>
      </c>
      <c r="D9" s="211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3" t="s">
        <v>391</v>
      </c>
      <c r="V9" s="260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</row>
    <row r="10" spans="1:34" ht="14.5" customHeight="1" thickBot="1" x14ac:dyDescent="0.2">
      <c r="B10" s="259"/>
      <c r="C10" s="482" t="s">
        <v>397</v>
      </c>
      <c r="D10" s="482" t="s">
        <v>68</v>
      </c>
      <c r="E10" s="482" t="s">
        <v>363</v>
      </c>
      <c r="F10" s="482" t="s">
        <v>374</v>
      </c>
      <c r="G10" s="482" t="s">
        <v>0</v>
      </c>
      <c r="H10" s="484" t="s">
        <v>7</v>
      </c>
      <c r="I10" s="484"/>
      <c r="J10" s="484"/>
      <c r="K10" s="484"/>
      <c r="L10" s="484"/>
      <c r="M10" s="484"/>
      <c r="N10" s="484"/>
      <c r="O10" s="482" t="s">
        <v>66</v>
      </c>
      <c r="P10" s="482" t="s">
        <v>40</v>
      </c>
      <c r="Q10" s="482" t="s">
        <v>360</v>
      </c>
      <c r="R10" s="482" t="s">
        <v>361</v>
      </c>
      <c r="S10" s="482" t="s">
        <v>362</v>
      </c>
      <c r="T10" s="482" t="s">
        <v>44</v>
      </c>
      <c r="U10" s="482" t="s">
        <v>46</v>
      </c>
      <c r="V10" s="260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</row>
    <row r="11" spans="1:34" ht="32" customHeight="1" thickBot="1" x14ac:dyDescent="0.2">
      <c r="B11" s="259"/>
      <c r="C11" s="483"/>
      <c r="D11" s="483"/>
      <c r="E11" s="483"/>
      <c r="F11" s="483"/>
      <c r="G11" s="483"/>
      <c r="H11" s="214" t="s">
        <v>393</v>
      </c>
      <c r="I11" s="214" t="s">
        <v>2</v>
      </c>
      <c r="J11" s="214" t="s">
        <v>3</v>
      </c>
      <c r="K11" s="214" t="s">
        <v>4</v>
      </c>
      <c r="L11" s="214" t="s">
        <v>5</v>
      </c>
      <c r="M11" s="214" t="s">
        <v>67</v>
      </c>
      <c r="N11" s="214" t="s">
        <v>6</v>
      </c>
      <c r="O11" s="483"/>
      <c r="P11" s="483"/>
      <c r="Q11" s="483"/>
      <c r="R11" s="483"/>
      <c r="S11" s="483"/>
      <c r="T11" s="483"/>
      <c r="U11" s="483"/>
      <c r="V11" s="260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</row>
    <row r="12" spans="1:34" ht="14.5" customHeight="1" x14ac:dyDescent="0.15">
      <c r="B12" s="259"/>
      <c r="C12" s="215" t="s">
        <v>380</v>
      </c>
      <c r="D12" s="304">
        <v>14878</v>
      </c>
      <c r="E12" s="371">
        <v>2.5318818199999997</v>
      </c>
      <c r="F12" s="371">
        <v>2.3174487899999998</v>
      </c>
      <c r="G12" s="371">
        <v>20.23046648</v>
      </c>
      <c r="H12" s="374">
        <v>0.15757337999999999</v>
      </c>
      <c r="I12" s="217">
        <v>2.30508588</v>
      </c>
      <c r="J12" s="217">
        <v>0.43838757</v>
      </c>
      <c r="K12" s="217">
        <v>2.38976531</v>
      </c>
      <c r="L12" s="217">
        <v>0</v>
      </c>
      <c r="M12" s="217">
        <v>0.62791425999999995</v>
      </c>
      <c r="N12" s="217">
        <v>0.2805206000000009</v>
      </c>
      <c r="O12" s="217">
        <v>2.0400388400000002</v>
      </c>
      <c r="P12" s="217">
        <v>0</v>
      </c>
      <c r="Q12" s="217">
        <v>1.7475040000000001E-2</v>
      </c>
      <c r="R12" s="217">
        <v>0</v>
      </c>
      <c r="S12" s="217">
        <v>1.7475040000000001E-2</v>
      </c>
      <c r="T12" s="217">
        <v>2109.7968836</v>
      </c>
      <c r="U12" s="217">
        <v>424.27292209999996</v>
      </c>
      <c r="V12" s="261">
        <v>0</v>
      </c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</row>
    <row r="13" spans="1:34" ht="14.5" customHeight="1" x14ac:dyDescent="0.15">
      <c r="B13" s="259"/>
      <c r="C13" s="220" t="s">
        <v>381</v>
      </c>
      <c r="D13" s="306">
        <v>13041</v>
      </c>
      <c r="E13" s="372">
        <v>22.4855862</v>
      </c>
      <c r="F13" s="372">
        <v>3.9732394200000005</v>
      </c>
      <c r="G13" s="372">
        <v>57.756831580000004</v>
      </c>
      <c r="H13" s="375">
        <v>0.68578793000000005</v>
      </c>
      <c r="I13" s="222">
        <v>2.09665824</v>
      </c>
      <c r="J13" s="222">
        <v>0.45129280999999999</v>
      </c>
      <c r="K13" s="222">
        <v>1.89869453</v>
      </c>
      <c r="L13" s="222">
        <v>7.24699E-3</v>
      </c>
      <c r="M13" s="222">
        <v>0.30011951000000003</v>
      </c>
      <c r="N13" s="222">
        <v>2.9199616199999996</v>
      </c>
      <c r="O13" s="222">
        <v>18.22639818</v>
      </c>
      <c r="P13" s="222">
        <v>1.22062E-3</v>
      </c>
      <c r="Q13" s="222">
        <v>6.5564839999999999E-2</v>
      </c>
      <c r="R13" s="222">
        <v>1.22062E-3</v>
      </c>
      <c r="S13" s="222">
        <v>6.5564839999999999E-2</v>
      </c>
      <c r="T13" s="222">
        <v>1418.73973058</v>
      </c>
      <c r="U13" s="222">
        <v>212.33392487</v>
      </c>
      <c r="V13" s="261">
        <v>1</v>
      </c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4" ht="14.5" customHeight="1" x14ac:dyDescent="0.15">
      <c r="B14" s="259"/>
      <c r="C14" s="220" t="s">
        <v>382</v>
      </c>
      <c r="D14" s="306">
        <v>58975</v>
      </c>
      <c r="E14" s="372">
        <v>370.66130349000002</v>
      </c>
      <c r="F14" s="372">
        <v>15.572430650000001</v>
      </c>
      <c r="G14" s="372">
        <v>347.70254002000001</v>
      </c>
      <c r="H14" s="375">
        <v>9.3604093499999994</v>
      </c>
      <c r="I14" s="222">
        <v>7.99866864</v>
      </c>
      <c r="J14" s="222">
        <v>1.4873820800000002</v>
      </c>
      <c r="K14" s="222">
        <v>7.05738661</v>
      </c>
      <c r="L14" s="222">
        <v>3.7820869999999999E-2</v>
      </c>
      <c r="M14" s="222">
        <v>0.94709721000000002</v>
      </c>
      <c r="N14" s="222">
        <v>51.763639709999993</v>
      </c>
      <c r="O14" s="222">
        <v>301.83206951</v>
      </c>
      <c r="P14" s="222">
        <v>5.6600499999999998E-3</v>
      </c>
      <c r="Q14" s="222">
        <v>0.51529239999999998</v>
      </c>
      <c r="R14" s="222">
        <v>4.9548199999999995E-3</v>
      </c>
      <c r="S14" s="222">
        <v>0.51458716999999998</v>
      </c>
      <c r="T14" s="222">
        <v>4830.8704907000001</v>
      </c>
      <c r="U14" s="222">
        <v>673.46137601999999</v>
      </c>
      <c r="V14" s="261">
        <v>2</v>
      </c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</row>
    <row r="15" spans="1:34" ht="14.5" customHeight="1" x14ac:dyDescent="0.15">
      <c r="B15" s="259"/>
      <c r="C15" s="220" t="s">
        <v>383</v>
      </c>
      <c r="D15" s="306">
        <v>89092</v>
      </c>
      <c r="E15" s="372">
        <v>989.05874928000003</v>
      </c>
      <c r="F15" s="372">
        <v>34.303454089999995</v>
      </c>
      <c r="G15" s="372">
        <v>845.37595010000007</v>
      </c>
      <c r="H15" s="375">
        <v>16.519147629999999</v>
      </c>
      <c r="I15" s="222">
        <v>14.818998839999999</v>
      </c>
      <c r="J15" s="222">
        <v>3.16411044</v>
      </c>
      <c r="K15" s="222">
        <v>14.054562710000001</v>
      </c>
      <c r="L15" s="222">
        <v>0.32071995000000003</v>
      </c>
      <c r="M15" s="222">
        <v>2.0017537299999999</v>
      </c>
      <c r="N15" s="222">
        <v>146.86474488000002</v>
      </c>
      <c r="O15" s="222">
        <v>805.39900966000005</v>
      </c>
      <c r="P15" s="222">
        <v>1.7380179999999999E-2</v>
      </c>
      <c r="Q15" s="222">
        <v>1.8598548799999999</v>
      </c>
      <c r="R15" s="222">
        <v>1.552573E-2</v>
      </c>
      <c r="S15" s="222">
        <v>1.8580004300000001</v>
      </c>
      <c r="T15" s="222">
        <v>8537.07049525</v>
      </c>
      <c r="U15" s="222">
        <v>1003.49922841</v>
      </c>
      <c r="V15" s="261">
        <v>3</v>
      </c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</row>
    <row r="16" spans="1:34" ht="14.5" customHeight="1" x14ac:dyDescent="0.15">
      <c r="B16" s="259"/>
      <c r="C16" s="220" t="s">
        <v>384</v>
      </c>
      <c r="D16" s="306">
        <v>280036</v>
      </c>
      <c r="E16" s="372">
        <v>5369.0501719399999</v>
      </c>
      <c r="F16" s="372">
        <v>211.10177830000003</v>
      </c>
      <c r="G16" s="372">
        <v>3604.6055812499999</v>
      </c>
      <c r="H16" s="375">
        <v>86.641665799999984</v>
      </c>
      <c r="I16" s="222">
        <v>87.626281680000005</v>
      </c>
      <c r="J16" s="222">
        <v>30.453863289999997</v>
      </c>
      <c r="K16" s="222">
        <v>90.058575230000002</v>
      </c>
      <c r="L16" s="222">
        <v>6.1893895800000003</v>
      </c>
      <c r="M16" s="222">
        <v>11.11140069</v>
      </c>
      <c r="N16" s="222">
        <v>859.15176290999989</v>
      </c>
      <c r="O16" s="222">
        <v>4233.4505034800004</v>
      </c>
      <c r="P16" s="222">
        <v>12.5132703</v>
      </c>
      <c r="Q16" s="222">
        <v>25.044348209999999</v>
      </c>
      <c r="R16" s="222">
        <v>5.4913122599999999</v>
      </c>
      <c r="S16" s="222">
        <v>18.022390170000001</v>
      </c>
      <c r="T16" s="222">
        <v>34744.12554175</v>
      </c>
      <c r="U16" s="222">
        <v>3877.65649966</v>
      </c>
      <c r="V16" s="261">
        <v>4</v>
      </c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</row>
    <row r="17" spans="2:34" ht="14.5" customHeight="1" x14ac:dyDescent="0.15">
      <c r="B17" s="259"/>
      <c r="C17" s="220" t="s">
        <v>385</v>
      </c>
      <c r="D17" s="306">
        <v>481078</v>
      </c>
      <c r="E17" s="372">
        <v>12828.133405370001</v>
      </c>
      <c r="F17" s="372">
        <v>901.74054009999998</v>
      </c>
      <c r="G17" s="372">
        <v>15051.194070940001</v>
      </c>
      <c r="H17" s="375">
        <v>348.49528338000005</v>
      </c>
      <c r="I17" s="222">
        <v>270.80322264</v>
      </c>
      <c r="J17" s="222">
        <v>160.13963802000001</v>
      </c>
      <c r="K17" s="222">
        <v>490.08041916000002</v>
      </c>
      <c r="L17" s="222">
        <v>75.82153701</v>
      </c>
      <c r="M17" s="222">
        <v>62.718066290000003</v>
      </c>
      <c r="N17" s="222">
        <v>1758.6038048899998</v>
      </c>
      <c r="O17" s="222">
        <v>9749.2518242000006</v>
      </c>
      <c r="P17" s="222">
        <v>255.57288234000001</v>
      </c>
      <c r="Q17" s="222">
        <v>286.18157912999999</v>
      </c>
      <c r="R17" s="222">
        <v>82.949314270000002</v>
      </c>
      <c r="S17" s="222">
        <v>113.55801106000001</v>
      </c>
      <c r="T17" s="222">
        <v>104274.22971206</v>
      </c>
      <c r="U17" s="222">
        <v>10950.54995812</v>
      </c>
      <c r="V17" s="261">
        <v>5</v>
      </c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</row>
    <row r="18" spans="2:34" ht="14.5" customHeight="1" x14ac:dyDescent="0.15">
      <c r="B18" s="259"/>
      <c r="C18" s="220" t="s">
        <v>386</v>
      </c>
      <c r="D18" s="306">
        <v>460465</v>
      </c>
      <c r="E18" s="372">
        <v>20059.764376179999</v>
      </c>
      <c r="F18" s="372">
        <v>2350.3078774099999</v>
      </c>
      <c r="G18" s="372">
        <v>31733.136114630004</v>
      </c>
      <c r="H18" s="375">
        <v>728.17279103999999</v>
      </c>
      <c r="I18" s="222">
        <v>364.68439716</v>
      </c>
      <c r="J18" s="222">
        <v>277.22685904000002</v>
      </c>
      <c r="K18" s="222">
        <v>1027.68959533</v>
      </c>
      <c r="L18" s="222">
        <v>307.36012006999999</v>
      </c>
      <c r="M18" s="222">
        <v>164.72638721999999</v>
      </c>
      <c r="N18" s="222">
        <v>2107.4028236899994</v>
      </c>
      <c r="O18" s="222">
        <v>15207.842066810001</v>
      </c>
      <c r="P18" s="222">
        <v>1389.18860055</v>
      </c>
      <c r="Q18" s="222">
        <v>1340.0488456399999</v>
      </c>
      <c r="R18" s="222">
        <v>312.86194935999998</v>
      </c>
      <c r="S18" s="222">
        <v>263.72937230000002</v>
      </c>
      <c r="T18" s="222">
        <v>193665.67860821</v>
      </c>
      <c r="U18" s="222">
        <v>18550.050322250001</v>
      </c>
      <c r="V18" s="261">
        <v>6</v>
      </c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</row>
    <row r="19" spans="2:34" ht="14.5" customHeight="1" x14ac:dyDescent="0.15">
      <c r="B19" s="259"/>
      <c r="C19" s="220" t="s">
        <v>387</v>
      </c>
      <c r="D19" s="306">
        <v>361166</v>
      </c>
      <c r="E19" s="372">
        <v>29750.660526680003</v>
      </c>
      <c r="F19" s="372">
        <v>4969.4459079500002</v>
      </c>
      <c r="G19" s="372">
        <v>49638.520453520003</v>
      </c>
      <c r="H19" s="375">
        <v>1699.5547319299999</v>
      </c>
      <c r="I19" s="222">
        <v>401.48116199999998</v>
      </c>
      <c r="J19" s="222">
        <v>338.09413518999997</v>
      </c>
      <c r="K19" s="222">
        <v>1628.3902966400001</v>
      </c>
      <c r="L19" s="222">
        <v>769.27238032000002</v>
      </c>
      <c r="M19" s="222">
        <v>349.54071033000002</v>
      </c>
      <c r="N19" s="222">
        <v>1439.9856307799992</v>
      </c>
      <c r="O19" s="222">
        <v>23314.635066980001</v>
      </c>
      <c r="P19" s="222">
        <v>3918.4455753100001</v>
      </c>
      <c r="Q19" s="222">
        <v>3564.9970876299999</v>
      </c>
      <c r="R19" s="222">
        <v>667.37523143999999</v>
      </c>
      <c r="S19" s="222">
        <v>313.93274375999999</v>
      </c>
      <c r="T19" s="222">
        <v>367572.76490682003</v>
      </c>
      <c r="U19" s="222">
        <v>24329.151045189999</v>
      </c>
      <c r="V19" s="261">
        <v>7</v>
      </c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</row>
    <row r="20" spans="2:34" ht="14.5" customHeight="1" x14ac:dyDescent="0.15">
      <c r="B20" s="259"/>
      <c r="C20" s="220" t="s">
        <v>388</v>
      </c>
      <c r="D20" s="306">
        <v>209954</v>
      </c>
      <c r="E20" s="372">
        <v>29430.602757520002</v>
      </c>
      <c r="F20" s="372">
        <v>7149.0582869000009</v>
      </c>
      <c r="G20" s="372">
        <v>58737.127969579997</v>
      </c>
      <c r="H20" s="375">
        <v>1846.8169176500001</v>
      </c>
      <c r="I20" s="222">
        <v>295.87232136</v>
      </c>
      <c r="J20" s="222">
        <v>257.51981816</v>
      </c>
      <c r="K20" s="222">
        <v>1458.2717332899999</v>
      </c>
      <c r="L20" s="222">
        <v>1004.9257599299999</v>
      </c>
      <c r="M20" s="222">
        <v>411.51229001000002</v>
      </c>
      <c r="N20" s="222">
        <v>708.10959739999998</v>
      </c>
      <c r="O20" s="222">
        <v>23609.857626469999</v>
      </c>
      <c r="P20" s="222">
        <v>4948.7931817500003</v>
      </c>
      <c r="Q20" s="222">
        <v>4464.8488258999996</v>
      </c>
      <c r="R20" s="222">
        <v>753.28665853000007</v>
      </c>
      <c r="S20" s="222">
        <v>269.34230267999999</v>
      </c>
      <c r="T20" s="222">
        <v>368914.05782212998</v>
      </c>
      <c r="U20" s="222">
        <v>22379.41710988</v>
      </c>
      <c r="V20" s="261">
        <v>8</v>
      </c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2:34" ht="14.5" customHeight="1" x14ac:dyDescent="0.15">
      <c r="B21" s="259"/>
      <c r="C21" s="220" t="s">
        <v>389</v>
      </c>
      <c r="D21" s="306">
        <v>80719</v>
      </c>
      <c r="E21" s="372">
        <v>14583.649873639999</v>
      </c>
      <c r="F21" s="372">
        <v>7111.9370000200006</v>
      </c>
      <c r="G21" s="372">
        <v>50769.821417649997</v>
      </c>
      <c r="H21" s="375">
        <v>724.54087924999999</v>
      </c>
      <c r="I21" s="222">
        <v>113.85101879999999</v>
      </c>
      <c r="J21" s="222">
        <v>99.312224579999992</v>
      </c>
      <c r="K21" s="222">
        <v>676.05664917999991</v>
      </c>
      <c r="L21" s="222">
        <v>516.80268572</v>
      </c>
      <c r="M21" s="222">
        <v>211.61392863999998</v>
      </c>
      <c r="N21" s="222">
        <v>291.07956715</v>
      </c>
      <c r="O21" s="222">
        <v>12037.997186409999</v>
      </c>
      <c r="P21" s="222">
        <v>2733.5085312900001</v>
      </c>
      <c r="Q21" s="222">
        <v>2422.55067435</v>
      </c>
      <c r="R21" s="222">
        <v>445.22481112000003</v>
      </c>
      <c r="S21" s="222">
        <v>134.28564471999999</v>
      </c>
      <c r="T21" s="222">
        <v>304182.47146129003</v>
      </c>
      <c r="U21" s="222">
        <v>18945.19623695</v>
      </c>
      <c r="V21" s="261">
        <v>9</v>
      </c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</row>
    <row r="22" spans="2:34" ht="14.5" customHeight="1" thickBot="1" x14ac:dyDescent="0.2">
      <c r="B22" s="259"/>
      <c r="C22" s="223" t="s">
        <v>390</v>
      </c>
      <c r="D22" s="308">
        <v>51419</v>
      </c>
      <c r="E22" s="373">
        <v>19912.70497232</v>
      </c>
      <c r="F22" s="373">
        <v>48458.259470240002</v>
      </c>
      <c r="G22" s="373">
        <v>160977.34218363999</v>
      </c>
      <c r="H22" s="376">
        <v>560.59876368000005</v>
      </c>
      <c r="I22" s="225">
        <v>73.271601840000002</v>
      </c>
      <c r="J22" s="225">
        <v>61.295892280000004</v>
      </c>
      <c r="K22" s="225">
        <v>604.91301094000005</v>
      </c>
      <c r="L22" s="225">
        <v>1608.3976274900001</v>
      </c>
      <c r="M22" s="225">
        <v>253.87820084999998</v>
      </c>
      <c r="N22" s="225">
        <v>196.4274129599994</v>
      </c>
      <c r="O22" s="225">
        <v>16689.045145650001</v>
      </c>
      <c r="P22" s="225">
        <v>4195.6987669099999</v>
      </c>
      <c r="Q22" s="225">
        <v>3526.8058686299996</v>
      </c>
      <c r="R22" s="225">
        <v>793.56487267000011</v>
      </c>
      <c r="S22" s="225">
        <v>124.67197439</v>
      </c>
      <c r="T22" s="225">
        <v>1071605.5359553099</v>
      </c>
      <c r="U22" s="225">
        <v>48559.374512840004</v>
      </c>
      <c r="V22" s="261">
        <v>10</v>
      </c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</row>
    <row r="23" spans="2:34" ht="14.5" customHeight="1" thickBot="1" x14ac:dyDescent="0.2">
      <c r="B23" s="259"/>
      <c r="C23" s="226" t="s">
        <v>64</v>
      </c>
      <c r="D23" s="227">
        <v>2100823</v>
      </c>
      <c r="E23" s="278">
        <v>133319.30360444001</v>
      </c>
      <c r="F23" s="278">
        <v>71208.017433870002</v>
      </c>
      <c r="G23" s="278">
        <v>371782.81357939</v>
      </c>
      <c r="H23" s="278">
        <v>6021.5439510200003</v>
      </c>
      <c r="I23" s="278">
        <v>1634.8094170799998</v>
      </c>
      <c r="J23" s="278">
        <v>1229.5836034599999</v>
      </c>
      <c r="K23" s="278">
        <v>6000.8606889300008</v>
      </c>
      <c r="L23" s="278">
        <v>4289.1352879299993</v>
      </c>
      <c r="M23" s="278">
        <v>1468.9778687400001</v>
      </c>
      <c r="N23" s="278">
        <v>7562.5894665899978</v>
      </c>
      <c r="O23" s="278">
        <v>105969.57693619</v>
      </c>
      <c r="P23" s="278">
        <v>17453.745069299999</v>
      </c>
      <c r="Q23" s="278">
        <v>15632.935416649998</v>
      </c>
      <c r="R23" s="278">
        <v>3060.77585082</v>
      </c>
      <c r="S23" s="278">
        <v>1239.9980665600001</v>
      </c>
      <c r="T23" s="278">
        <v>2461855.3416077001</v>
      </c>
      <c r="U23" s="278">
        <v>149904.96313629</v>
      </c>
      <c r="V23" s="260"/>
    </row>
    <row r="24" spans="2:34" ht="15" customHeight="1" thickBot="1" x14ac:dyDescent="0.2">
      <c r="B24" s="2"/>
      <c r="C24" s="1" t="s">
        <v>473</v>
      </c>
      <c r="D24" s="227">
        <v>26494416</v>
      </c>
      <c r="E24" s="227">
        <v>1293205.30169292</v>
      </c>
      <c r="F24" s="227">
        <v>207361.44886296004</v>
      </c>
      <c r="G24" s="227">
        <v>632171.26170038001</v>
      </c>
      <c r="V24" s="22"/>
    </row>
    <row r="25" spans="2:34" ht="15" customHeight="1" x14ac:dyDescent="0.15">
      <c r="B25" s="228"/>
      <c r="D25" s="177">
        <f>D23/D24</f>
        <v>7.929304801434385E-2</v>
      </c>
      <c r="E25" s="177">
        <f t="shared" ref="E25:F25" si="0">E23/E24</f>
        <v>0.10309214123226471</v>
      </c>
      <c r="F25" s="177">
        <f t="shared" si="0"/>
        <v>0.34340046245013262</v>
      </c>
      <c r="G25" s="177">
        <f>G23/G24</f>
        <v>0.5881045787804221</v>
      </c>
      <c r="V25" s="22"/>
    </row>
    <row r="26" spans="2:34" ht="15" customHeight="1" x14ac:dyDescent="0.15">
      <c r="B26" s="228"/>
      <c r="C26" s="1" t="s">
        <v>474</v>
      </c>
      <c r="D26" s="401">
        <v>125057072.18084399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2"/>
    </row>
    <row r="27" spans="2:34" ht="15" customHeight="1" x14ac:dyDescent="0.15">
      <c r="B27" s="228"/>
      <c r="D27" s="177">
        <f>D23/D26</f>
        <v>1.6798913994740077E-2</v>
      </c>
      <c r="V27" s="22"/>
    </row>
    <row r="28" spans="2:34" ht="15" customHeight="1" x14ac:dyDescent="0.15">
      <c r="B28" s="228"/>
      <c r="V28" s="22"/>
    </row>
    <row r="29" spans="2:34" ht="15" customHeight="1" x14ac:dyDescent="0.15">
      <c r="B29" s="228"/>
      <c r="K29" s="78"/>
      <c r="M29" s="78"/>
      <c r="N29" s="78"/>
      <c r="O29" s="78"/>
      <c r="P29" s="78"/>
      <c r="Q29" s="78"/>
      <c r="R29" s="78"/>
      <c r="S29" s="78"/>
      <c r="T29" s="78"/>
      <c r="U29" s="78"/>
      <c r="V29" s="22"/>
      <c r="Z29" s="118"/>
    </row>
    <row r="30" spans="2:34" ht="15" customHeight="1" x14ac:dyDescent="0.15">
      <c r="B30" s="228"/>
      <c r="V30" s="22"/>
    </row>
    <row r="31" spans="2:34" ht="15" customHeight="1" x14ac:dyDescent="0.15">
      <c r="B31" s="228"/>
      <c r="V31" s="22"/>
    </row>
    <row r="32" spans="2:34" ht="15" customHeight="1" x14ac:dyDescent="0.15">
      <c r="B32" s="228"/>
      <c r="C32" s="1" t="s">
        <v>552</v>
      </c>
      <c r="D32" s="1" t="s">
        <v>553</v>
      </c>
      <c r="E32" s="1" t="s">
        <v>554</v>
      </c>
      <c r="F32" s="1" t="s">
        <v>555</v>
      </c>
      <c r="G32" s="1" t="s">
        <v>557</v>
      </c>
      <c r="N32" s="1" t="s">
        <v>556</v>
      </c>
      <c r="V32" s="22"/>
    </row>
    <row r="33" spans="2:22" ht="15" customHeight="1" x14ac:dyDescent="0.15">
      <c r="B33" s="228"/>
      <c r="C33" s="1">
        <v>0</v>
      </c>
      <c r="D33" s="1">
        <v>14878</v>
      </c>
      <c r="E33" s="1">
        <f>G12*1000000</f>
        <v>20230466.48</v>
      </c>
      <c r="F33" s="1">
        <f>E33-(L12*1000000)</f>
        <v>20230466.48</v>
      </c>
      <c r="G33" s="1">
        <f>$N$33*(F33/$F$44)</f>
        <v>15815348.686810972</v>
      </c>
      <c r="H33" s="1">
        <f>G33/D33</f>
        <v>1063.0023314162504</v>
      </c>
      <c r="J33" s="398" t="str">
        <f>IF(AND(G33/D33&lt;=C34,G33/D33&gt;=C33), "OK", "ERROR")</f>
        <v>OK</v>
      </c>
      <c r="N33" s="178">
        <f>(P49_T20_nontaxable!D17+P49_T20_nontaxable!D22)*1000000000</f>
        <v>287291480308.87</v>
      </c>
      <c r="V33" s="22"/>
    </row>
    <row r="34" spans="2:22" ht="15" customHeight="1" x14ac:dyDescent="0.15">
      <c r="B34" s="228"/>
      <c r="C34" s="402">
        <v>4068</v>
      </c>
      <c r="D34" s="78">
        <v>13041</v>
      </c>
      <c r="E34" s="1">
        <f t="shared" ref="E34:E43" si="1">G13*1000000</f>
        <v>57756831.580000006</v>
      </c>
      <c r="F34" s="1">
        <f t="shared" ref="F34:F43" si="2">E34-(L13*1000000)</f>
        <v>57749584.590000004</v>
      </c>
      <c r="G34" s="1">
        <f>$N$33*(F34/$F$44)</f>
        <v>45146255.906271897</v>
      </c>
      <c r="H34" s="1">
        <f>G34/D34</f>
        <v>3461.8707082487463</v>
      </c>
      <c r="I34" s="20"/>
      <c r="J34" s="398" t="str">
        <f t="shared" ref="J34:J42" si="3">IF(AND(G34/D34&lt;=C35,G34/D34&gt;=C34), "OK", "ERROR")</f>
        <v>ERROR</v>
      </c>
      <c r="V34" s="22"/>
    </row>
    <row r="35" spans="2:22" ht="15" customHeight="1" x14ac:dyDescent="0.15">
      <c r="B35" s="228"/>
      <c r="C35" s="401">
        <v>8136</v>
      </c>
      <c r="D35" s="1">
        <v>58975</v>
      </c>
      <c r="E35" s="1">
        <f t="shared" si="1"/>
        <v>347702540.02000004</v>
      </c>
      <c r="F35" s="1">
        <f t="shared" si="2"/>
        <v>347664719.15000004</v>
      </c>
      <c r="G35" s="1">
        <f t="shared" ref="G35:G42" si="4">$N$33*(F35/$F$44)</f>
        <v>271790013.58645183</v>
      </c>
      <c r="H35" s="1">
        <f>G35/D35</f>
        <v>4608.5631807791751</v>
      </c>
      <c r="J35" s="398" t="str">
        <f t="shared" si="3"/>
        <v>ERROR</v>
      </c>
      <c r="V35" s="22"/>
    </row>
    <row r="36" spans="2:22" ht="15" customHeight="1" x14ac:dyDescent="0.15">
      <c r="B36" s="228"/>
      <c r="C36" s="401">
        <v>16272</v>
      </c>
      <c r="D36" s="1">
        <v>89092</v>
      </c>
      <c r="E36" s="1">
        <f t="shared" si="1"/>
        <v>845375950.10000002</v>
      </c>
      <c r="F36" s="1">
        <f t="shared" si="2"/>
        <v>845055230.14999998</v>
      </c>
      <c r="G36" s="1">
        <f t="shared" si="4"/>
        <v>660629508.35306406</v>
      </c>
      <c r="H36" s="1">
        <f t="shared" ref="H36:H41" si="5">G36/D36</f>
        <v>7415.138377778746</v>
      </c>
      <c r="J36" s="398" t="str">
        <f t="shared" si="3"/>
        <v>ERROR</v>
      </c>
      <c r="V36" s="22"/>
    </row>
    <row r="37" spans="2:22" ht="15" customHeight="1" x14ac:dyDescent="0.15">
      <c r="B37" s="228"/>
      <c r="C37" s="401">
        <v>24408</v>
      </c>
      <c r="D37" s="78">
        <v>280036</v>
      </c>
      <c r="E37" s="1">
        <f t="shared" si="1"/>
        <v>3604605581.25</v>
      </c>
      <c r="F37" s="1">
        <f t="shared" si="2"/>
        <v>3598416191.6700001</v>
      </c>
      <c r="G37" s="1">
        <f t="shared" si="4"/>
        <v>2813094144.3089976</v>
      </c>
      <c r="H37" s="1">
        <f>G37/D37</f>
        <v>10045.473240258387</v>
      </c>
      <c r="J37" s="398" t="str">
        <f t="shared" si="3"/>
        <v>ERROR</v>
      </c>
      <c r="V37" s="22"/>
    </row>
    <row r="38" spans="2:22" ht="15" customHeight="1" x14ac:dyDescent="0.15">
      <c r="B38" s="228"/>
      <c r="C38" s="401">
        <v>40680</v>
      </c>
      <c r="D38" s="1">
        <v>481078</v>
      </c>
      <c r="E38" s="1">
        <f t="shared" si="1"/>
        <v>15051194070.940001</v>
      </c>
      <c r="F38" s="1">
        <f t="shared" si="2"/>
        <v>14975372533.93</v>
      </c>
      <c r="G38" s="1">
        <f t="shared" si="4"/>
        <v>11707131843.605165</v>
      </c>
      <c r="H38" s="1">
        <f t="shared" si="5"/>
        <v>24335.205192515903</v>
      </c>
      <c r="J38" s="398" t="str">
        <f t="shared" si="3"/>
        <v>ERROR</v>
      </c>
      <c r="V38" s="22"/>
    </row>
    <row r="39" spans="2:22" ht="15" customHeight="1" x14ac:dyDescent="0.15">
      <c r="B39" s="228"/>
      <c r="C39" s="401">
        <v>81360</v>
      </c>
      <c r="D39" s="1">
        <v>460465</v>
      </c>
      <c r="E39" s="1">
        <f t="shared" si="1"/>
        <v>31733136114.630005</v>
      </c>
      <c r="F39" s="1">
        <f t="shared" si="2"/>
        <v>31425775994.560005</v>
      </c>
      <c r="G39" s="1">
        <f t="shared" si="4"/>
        <v>24567382348.742573</v>
      </c>
      <c r="H39" s="1">
        <f t="shared" si="5"/>
        <v>53353.419583991337</v>
      </c>
      <c r="J39" s="398" t="str">
        <f t="shared" si="3"/>
        <v>ERROR</v>
      </c>
      <c r="V39" s="22"/>
    </row>
    <row r="40" spans="2:22" ht="15" customHeight="1" x14ac:dyDescent="0.15">
      <c r="B40" s="228"/>
      <c r="C40" s="401">
        <v>162720</v>
      </c>
      <c r="D40" s="1">
        <v>361166</v>
      </c>
      <c r="E40" s="1">
        <f t="shared" si="1"/>
        <v>49638520453.520004</v>
      </c>
      <c r="F40" s="1">
        <f t="shared" si="2"/>
        <v>48869248073.200005</v>
      </c>
      <c r="G40" s="1">
        <f t="shared" si="4"/>
        <v>38203973156.229622</v>
      </c>
      <c r="H40" s="1">
        <f t="shared" si="5"/>
        <v>105779.53948109629</v>
      </c>
      <c r="J40" s="398" t="str">
        <f t="shared" si="3"/>
        <v>ERROR</v>
      </c>
      <c r="V40" s="22"/>
    </row>
    <row r="41" spans="2:22" ht="15" customHeight="1" x14ac:dyDescent="0.15">
      <c r="B41" s="228"/>
      <c r="C41" s="401">
        <v>325440</v>
      </c>
      <c r="D41" s="1">
        <v>209954</v>
      </c>
      <c r="E41" s="1">
        <f t="shared" si="1"/>
        <v>58737127969.579994</v>
      </c>
      <c r="F41" s="1">
        <f t="shared" si="2"/>
        <v>57732202209.649994</v>
      </c>
      <c r="G41" s="1">
        <f t="shared" si="4"/>
        <v>45132667074.471405</v>
      </c>
      <c r="H41" s="1">
        <f t="shared" si="5"/>
        <v>214964.54973218613</v>
      </c>
      <c r="J41" s="398" t="str">
        <f t="shared" si="3"/>
        <v>ERROR</v>
      </c>
      <c r="V41" s="22"/>
    </row>
    <row r="42" spans="2:22" ht="15" customHeight="1" x14ac:dyDescent="0.15">
      <c r="B42" s="228"/>
      <c r="C42" s="401">
        <v>650880</v>
      </c>
      <c r="D42" s="1">
        <v>80719</v>
      </c>
      <c r="E42" s="1">
        <f t="shared" si="1"/>
        <v>50769821417.649994</v>
      </c>
      <c r="F42" s="1">
        <f t="shared" si="2"/>
        <v>50253018731.929993</v>
      </c>
      <c r="G42" s="1">
        <f t="shared" si="4"/>
        <v>39285748284.451622</v>
      </c>
      <c r="H42" s="1">
        <f>G42/D42</f>
        <v>486697.65835121373</v>
      </c>
      <c r="J42" s="398" t="str">
        <f t="shared" si="3"/>
        <v>ERROR</v>
      </c>
      <c r="V42" s="22"/>
    </row>
    <row r="43" spans="2:22" ht="15" customHeight="1" x14ac:dyDescent="0.15">
      <c r="B43" s="228"/>
      <c r="C43" s="401">
        <v>1301760</v>
      </c>
      <c r="D43" s="1">
        <v>51419</v>
      </c>
      <c r="E43" s="1">
        <f t="shared" si="1"/>
        <v>160977342183.63998</v>
      </c>
      <c r="F43" s="1">
        <f t="shared" si="2"/>
        <v>159368944556.14999</v>
      </c>
      <c r="G43" s="1">
        <f>$N$33*(F43/$F$44)</f>
        <v>124588102330.52802</v>
      </c>
      <c r="H43" s="1">
        <f>G43/D43</f>
        <v>2422997.3809394971</v>
      </c>
      <c r="J43" s="398" t="str">
        <f>IF(AND(G43/D43&gt;=C43), "OK", "ERROR")</f>
        <v>OK</v>
      </c>
      <c r="V43" s="22"/>
    </row>
    <row r="44" spans="2:22" ht="15" customHeight="1" x14ac:dyDescent="0.15">
      <c r="B44" s="228"/>
      <c r="C44" s="1" t="s">
        <v>403</v>
      </c>
      <c r="D44" s="1">
        <f>SUM(D33:D43)</f>
        <v>2100823</v>
      </c>
      <c r="E44" s="1">
        <f t="shared" ref="E44:F44" si="6">SUM(E33:E43)</f>
        <v>371782813579.39001</v>
      </c>
      <c r="F44" s="1">
        <f t="shared" si="6"/>
        <v>367493678291.45996</v>
      </c>
      <c r="V44" s="22"/>
    </row>
    <row r="45" spans="2:22" ht="15" customHeight="1" thickBot="1" x14ac:dyDescent="0.2">
      <c r="B45" s="139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27"/>
    </row>
  </sheetData>
  <mergeCells count="13">
    <mergeCell ref="U10:U11"/>
    <mergeCell ref="T10:T11"/>
    <mergeCell ref="C10:C11"/>
    <mergeCell ref="D10:D11"/>
    <mergeCell ref="E10:E11"/>
    <mergeCell ref="F10:F11"/>
    <mergeCell ref="G10:G11"/>
    <mergeCell ref="H10:N10"/>
    <mergeCell ref="O10:O11"/>
    <mergeCell ref="P10:P11"/>
    <mergeCell ref="Q10:Q11"/>
    <mergeCell ref="R10:R11"/>
    <mergeCell ref="S10:S11"/>
  </mergeCells>
  <conditionalFormatting sqref="K29">
    <cfRule type="cellIs" dxfId="20" priority="5" stopIfTrue="1" operator="equal">
      <formula>0</formula>
    </cfRule>
  </conditionalFormatting>
  <pageMargins left="0.25" right="0.25" top="0.75" bottom="0.75" header="0.3" footer="0.3"/>
  <pageSetup paperSize="9" scale="80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X1311"/>
  <sheetViews>
    <sheetView showGridLines="0" topLeftCell="B1" zoomScale="90" zoomScaleNormal="90" zoomScalePageLayoutView="90" workbookViewId="0">
      <selection activeCell="X12" sqref="X12"/>
    </sheetView>
  </sheetViews>
  <sheetFormatPr baseColWidth="10" defaultColWidth="8.83203125" defaultRowHeight="13" x14ac:dyDescent="0.15"/>
  <cols>
    <col min="1" max="1" width="2.5" style="1" customWidth="1"/>
    <col min="2" max="2" width="2.33203125" style="1" customWidth="1"/>
    <col min="3" max="3" width="48.5" style="1" customWidth="1"/>
    <col min="4" max="4" width="11.1640625" style="1" customWidth="1"/>
    <col min="5" max="5" width="9.1640625" style="1" customWidth="1"/>
    <col min="6" max="7" width="8.83203125" style="1" customWidth="1"/>
    <col min="8" max="8" width="9" style="1" customWidth="1"/>
    <col min="9" max="9" width="8.5" style="1" customWidth="1"/>
    <col min="10" max="10" width="9.1640625" style="1" customWidth="1"/>
    <col min="11" max="11" width="8.1640625" style="1" customWidth="1"/>
    <col min="12" max="12" width="7" style="1" customWidth="1"/>
    <col min="13" max="13" width="7.5" style="1" customWidth="1"/>
    <col min="14" max="14" width="7.83203125" style="1" bestFit="1" customWidth="1"/>
    <col min="15" max="15" width="8.83203125" style="1" customWidth="1"/>
    <col min="16" max="18" width="8.1640625" style="1" customWidth="1"/>
    <col min="19" max="19" width="8.33203125" style="1" customWidth="1"/>
    <col min="20" max="20" width="10.33203125" style="1" customWidth="1"/>
    <col min="21" max="21" width="9" style="1" customWidth="1"/>
    <col min="22" max="22" width="2.33203125" style="1" customWidth="1"/>
    <col min="23" max="256" width="8.83203125" style="1"/>
    <col min="257" max="257" width="2.5" style="1" customWidth="1"/>
    <col min="258" max="258" width="2.33203125" style="1" customWidth="1"/>
    <col min="259" max="259" width="49.1640625" style="1" customWidth="1"/>
    <col min="260" max="260" width="11.1640625" style="1" customWidth="1"/>
    <col min="261" max="261" width="8.33203125" style="1" customWidth="1"/>
    <col min="262" max="262" width="8.1640625" style="1" customWidth="1"/>
    <col min="263" max="263" width="9" style="1" customWidth="1"/>
    <col min="264" max="264" width="9.1640625" style="1" customWidth="1"/>
    <col min="265" max="265" width="6.5" style="1" customWidth="1"/>
    <col min="266" max="266" width="8.5" style="1" customWidth="1"/>
    <col min="267" max="267" width="7.83203125" style="1" customWidth="1"/>
    <col min="268" max="268" width="7" style="1" customWidth="1"/>
    <col min="269" max="269" width="7.5" style="1" customWidth="1"/>
    <col min="270" max="270" width="7.1640625" style="1" customWidth="1"/>
    <col min="271" max="271" width="8" style="1" customWidth="1"/>
    <col min="272" max="274" width="7.5" style="1" customWidth="1"/>
    <col min="275" max="275" width="8" style="1" customWidth="1"/>
    <col min="276" max="276" width="10.5" style="1" customWidth="1"/>
    <col min="277" max="277" width="8" style="1" customWidth="1"/>
    <col min="278" max="278" width="2.33203125" style="1" customWidth="1"/>
    <col min="279" max="512" width="8.83203125" style="1"/>
    <col min="513" max="513" width="2.5" style="1" customWidth="1"/>
    <col min="514" max="514" width="2.33203125" style="1" customWidth="1"/>
    <col min="515" max="515" width="49.1640625" style="1" customWidth="1"/>
    <col min="516" max="516" width="11.1640625" style="1" customWidth="1"/>
    <col min="517" max="517" width="8.33203125" style="1" customWidth="1"/>
    <col min="518" max="518" width="8.1640625" style="1" customWidth="1"/>
    <col min="519" max="519" width="9" style="1" customWidth="1"/>
    <col min="520" max="520" width="9.1640625" style="1" customWidth="1"/>
    <col min="521" max="521" width="6.5" style="1" customWidth="1"/>
    <col min="522" max="522" width="8.5" style="1" customWidth="1"/>
    <col min="523" max="523" width="7.83203125" style="1" customWidth="1"/>
    <col min="524" max="524" width="7" style="1" customWidth="1"/>
    <col min="525" max="525" width="7.5" style="1" customWidth="1"/>
    <col min="526" max="526" width="7.1640625" style="1" customWidth="1"/>
    <col min="527" max="527" width="8" style="1" customWidth="1"/>
    <col min="528" max="530" width="7.5" style="1" customWidth="1"/>
    <col min="531" max="531" width="8" style="1" customWidth="1"/>
    <col min="532" max="532" width="10.5" style="1" customWidth="1"/>
    <col min="533" max="533" width="8" style="1" customWidth="1"/>
    <col min="534" max="534" width="2.33203125" style="1" customWidth="1"/>
    <col min="535" max="768" width="8.83203125" style="1"/>
    <col min="769" max="769" width="2.5" style="1" customWidth="1"/>
    <col min="770" max="770" width="2.33203125" style="1" customWidth="1"/>
    <col min="771" max="771" width="49.1640625" style="1" customWidth="1"/>
    <col min="772" max="772" width="11.1640625" style="1" customWidth="1"/>
    <col min="773" max="773" width="8.33203125" style="1" customWidth="1"/>
    <col min="774" max="774" width="8.1640625" style="1" customWidth="1"/>
    <col min="775" max="775" width="9" style="1" customWidth="1"/>
    <col min="776" max="776" width="9.1640625" style="1" customWidth="1"/>
    <col min="777" max="777" width="6.5" style="1" customWidth="1"/>
    <col min="778" max="778" width="8.5" style="1" customWidth="1"/>
    <col min="779" max="779" width="7.83203125" style="1" customWidth="1"/>
    <col min="780" max="780" width="7" style="1" customWidth="1"/>
    <col min="781" max="781" width="7.5" style="1" customWidth="1"/>
    <col min="782" max="782" width="7.1640625" style="1" customWidth="1"/>
    <col min="783" max="783" width="8" style="1" customWidth="1"/>
    <col min="784" max="786" width="7.5" style="1" customWidth="1"/>
    <col min="787" max="787" width="8" style="1" customWidth="1"/>
    <col min="788" max="788" width="10.5" style="1" customWidth="1"/>
    <col min="789" max="789" width="8" style="1" customWidth="1"/>
    <col min="790" max="790" width="2.33203125" style="1" customWidth="1"/>
    <col min="791" max="1024" width="8.83203125" style="1"/>
    <col min="1025" max="1025" width="2.5" style="1" customWidth="1"/>
    <col min="1026" max="1026" width="2.33203125" style="1" customWidth="1"/>
    <col min="1027" max="1027" width="49.1640625" style="1" customWidth="1"/>
    <col min="1028" max="1028" width="11.1640625" style="1" customWidth="1"/>
    <col min="1029" max="1029" width="8.33203125" style="1" customWidth="1"/>
    <col min="1030" max="1030" width="8.1640625" style="1" customWidth="1"/>
    <col min="1031" max="1031" width="9" style="1" customWidth="1"/>
    <col min="1032" max="1032" width="9.1640625" style="1" customWidth="1"/>
    <col min="1033" max="1033" width="6.5" style="1" customWidth="1"/>
    <col min="1034" max="1034" width="8.5" style="1" customWidth="1"/>
    <col min="1035" max="1035" width="7.83203125" style="1" customWidth="1"/>
    <col min="1036" max="1036" width="7" style="1" customWidth="1"/>
    <col min="1037" max="1037" width="7.5" style="1" customWidth="1"/>
    <col min="1038" max="1038" width="7.1640625" style="1" customWidth="1"/>
    <col min="1039" max="1039" width="8" style="1" customWidth="1"/>
    <col min="1040" max="1042" width="7.5" style="1" customWidth="1"/>
    <col min="1043" max="1043" width="8" style="1" customWidth="1"/>
    <col min="1044" max="1044" width="10.5" style="1" customWidth="1"/>
    <col min="1045" max="1045" width="8" style="1" customWidth="1"/>
    <col min="1046" max="1046" width="2.33203125" style="1" customWidth="1"/>
    <col min="1047" max="1280" width="8.83203125" style="1"/>
    <col min="1281" max="1281" width="2.5" style="1" customWidth="1"/>
    <col min="1282" max="1282" width="2.33203125" style="1" customWidth="1"/>
    <col min="1283" max="1283" width="49.1640625" style="1" customWidth="1"/>
    <col min="1284" max="1284" width="11.1640625" style="1" customWidth="1"/>
    <col min="1285" max="1285" width="8.33203125" style="1" customWidth="1"/>
    <col min="1286" max="1286" width="8.1640625" style="1" customWidth="1"/>
    <col min="1287" max="1287" width="9" style="1" customWidth="1"/>
    <col min="1288" max="1288" width="9.1640625" style="1" customWidth="1"/>
    <col min="1289" max="1289" width="6.5" style="1" customWidth="1"/>
    <col min="1290" max="1290" width="8.5" style="1" customWidth="1"/>
    <col min="1291" max="1291" width="7.83203125" style="1" customWidth="1"/>
    <col min="1292" max="1292" width="7" style="1" customWidth="1"/>
    <col min="1293" max="1293" width="7.5" style="1" customWidth="1"/>
    <col min="1294" max="1294" width="7.1640625" style="1" customWidth="1"/>
    <col min="1295" max="1295" width="8" style="1" customWidth="1"/>
    <col min="1296" max="1298" width="7.5" style="1" customWidth="1"/>
    <col min="1299" max="1299" width="8" style="1" customWidth="1"/>
    <col min="1300" max="1300" width="10.5" style="1" customWidth="1"/>
    <col min="1301" max="1301" width="8" style="1" customWidth="1"/>
    <col min="1302" max="1302" width="2.33203125" style="1" customWidth="1"/>
    <col min="1303" max="1536" width="8.83203125" style="1"/>
    <col min="1537" max="1537" width="2.5" style="1" customWidth="1"/>
    <col min="1538" max="1538" width="2.33203125" style="1" customWidth="1"/>
    <col min="1539" max="1539" width="49.1640625" style="1" customWidth="1"/>
    <col min="1540" max="1540" width="11.1640625" style="1" customWidth="1"/>
    <col min="1541" max="1541" width="8.33203125" style="1" customWidth="1"/>
    <col min="1542" max="1542" width="8.1640625" style="1" customWidth="1"/>
    <col min="1543" max="1543" width="9" style="1" customWidth="1"/>
    <col min="1544" max="1544" width="9.1640625" style="1" customWidth="1"/>
    <col min="1545" max="1545" width="6.5" style="1" customWidth="1"/>
    <col min="1546" max="1546" width="8.5" style="1" customWidth="1"/>
    <col min="1547" max="1547" width="7.83203125" style="1" customWidth="1"/>
    <col min="1548" max="1548" width="7" style="1" customWidth="1"/>
    <col min="1549" max="1549" width="7.5" style="1" customWidth="1"/>
    <col min="1550" max="1550" width="7.1640625" style="1" customWidth="1"/>
    <col min="1551" max="1551" width="8" style="1" customWidth="1"/>
    <col min="1552" max="1554" width="7.5" style="1" customWidth="1"/>
    <col min="1555" max="1555" width="8" style="1" customWidth="1"/>
    <col min="1556" max="1556" width="10.5" style="1" customWidth="1"/>
    <col min="1557" max="1557" width="8" style="1" customWidth="1"/>
    <col min="1558" max="1558" width="2.33203125" style="1" customWidth="1"/>
    <col min="1559" max="1792" width="8.83203125" style="1"/>
    <col min="1793" max="1793" width="2.5" style="1" customWidth="1"/>
    <col min="1794" max="1794" width="2.33203125" style="1" customWidth="1"/>
    <col min="1795" max="1795" width="49.1640625" style="1" customWidth="1"/>
    <col min="1796" max="1796" width="11.1640625" style="1" customWidth="1"/>
    <col min="1797" max="1797" width="8.33203125" style="1" customWidth="1"/>
    <col min="1798" max="1798" width="8.1640625" style="1" customWidth="1"/>
    <col min="1799" max="1799" width="9" style="1" customWidth="1"/>
    <col min="1800" max="1800" width="9.1640625" style="1" customWidth="1"/>
    <col min="1801" max="1801" width="6.5" style="1" customWidth="1"/>
    <col min="1802" max="1802" width="8.5" style="1" customWidth="1"/>
    <col min="1803" max="1803" width="7.83203125" style="1" customWidth="1"/>
    <col min="1804" max="1804" width="7" style="1" customWidth="1"/>
    <col min="1805" max="1805" width="7.5" style="1" customWidth="1"/>
    <col min="1806" max="1806" width="7.1640625" style="1" customWidth="1"/>
    <col min="1807" max="1807" width="8" style="1" customWidth="1"/>
    <col min="1808" max="1810" width="7.5" style="1" customWidth="1"/>
    <col min="1811" max="1811" width="8" style="1" customWidth="1"/>
    <col min="1812" max="1812" width="10.5" style="1" customWidth="1"/>
    <col min="1813" max="1813" width="8" style="1" customWidth="1"/>
    <col min="1814" max="1814" width="2.33203125" style="1" customWidth="1"/>
    <col min="1815" max="2048" width="8.83203125" style="1"/>
    <col min="2049" max="2049" width="2.5" style="1" customWidth="1"/>
    <col min="2050" max="2050" width="2.33203125" style="1" customWidth="1"/>
    <col min="2051" max="2051" width="49.1640625" style="1" customWidth="1"/>
    <col min="2052" max="2052" width="11.1640625" style="1" customWidth="1"/>
    <col min="2053" max="2053" width="8.33203125" style="1" customWidth="1"/>
    <col min="2054" max="2054" width="8.1640625" style="1" customWidth="1"/>
    <col min="2055" max="2055" width="9" style="1" customWidth="1"/>
    <col min="2056" max="2056" width="9.1640625" style="1" customWidth="1"/>
    <col min="2057" max="2057" width="6.5" style="1" customWidth="1"/>
    <col min="2058" max="2058" width="8.5" style="1" customWidth="1"/>
    <col min="2059" max="2059" width="7.83203125" style="1" customWidth="1"/>
    <col min="2060" max="2060" width="7" style="1" customWidth="1"/>
    <col min="2061" max="2061" width="7.5" style="1" customWidth="1"/>
    <col min="2062" max="2062" width="7.1640625" style="1" customWidth="1"/>
    <col min="2063" max="2063" width="8" style="1" customWidth="1"/>
    <col min="2064" max="2066" width="7.5" style="1" customWidth="1"/>
    <col min="2067" max="2067" width="8" style="1" customWidth="1"/>
    <col min="2068" max="2068" width="10.5" style="1" customWidth="1"/>
    <col min="2069" max="2069" width="8" style="1" customWidth="1"/>
    <col min="2070" max="2070" width="2.33203125" style="1" customWidth="1"/>
    <col min="2071" max="2304" width="8.83203125" style="1"/>
    <col min="2305" max="2305" width="2.5" style="1" customWidth="1"/>
    <col min="2306" max="2306" width="2.33203125" style="1" customWidth="1"/>
    <col min="2307" max="2307" width="49.1640625" style="1" customWidth="1"/>
    <col min="2308" max="2308" width="11.1640625" style="1" customWidth="1"/>
    <col min="2309" max="2309" width="8.33203125" style="1" customWidth="1"/>
    <col min="2310" max="2310" width="8.1640625" style="1" customWidth="1"/>
    <col min="2311" max="2311" width="9" style="1" customWidth="1"/>
    <col min="2312" max="2312" width="9.1640625" style="1" customWidth="1"/>
    <col min="2313" max="2313" width="6.5" style="1" customWidth="1"/>
    <col min="2314" max="2314" width="8.5" style="1" customWidth="1"/>
    <col min="2315" max="2315" width="7.83203125" style="1" customWidth="1"/>
    <col min="2316" max="2316" width="7" style="1" customWidth="1"/>
    <col min="2317" max="2317" width="7.5" style="1" customWidth="1"/>
    <col min="2318" max="2318" width="7.1640625" style="1" customWidth="1"/>
    <col min="2319" max="2319" width="8" style="1" customWidth="1"/>
    <col min="2320" max="2322" width="7.5" style="1" customWidth="1"/>
    <col min="2323" max="2323" width="8" style="1" customWidth="1"/>
    <col min="2324" max="2324" width="10.5" style="1" customWidth="1"/>
    <col min="2325" max="2325" width="8" style="1" customWidth="1"/>
    <col min="2326" max="2326" width="2.33203125" style="1" customWidth="1"/>
    <col min="2327" max="2560" width="8.83203125" style="1"/>
    <col min="2561" max="2561" width="2.5" style="1" customWidth="1"/>
    <col min="2562" max="2562" width="2.33203125" style="1" customWidth="1"/>
    <col min="2563" max="2563" width="49.1640625" style="1" customWidth="1"/>
    <col min="2564" max="2564" width="11.1640625" style="1" customWidth="1"/>
    <col min="2565" max="2565" width="8.33203125" style="1" customWidth="1"/>
    <col min="2566" max="2566" width="8.1640625" style="1" customWidth="1"/>
    <col min="2567" max="2567" width="9" style="1" customWidth="1"/>
    <col min="2568" max="2568" width="9.1640625" style="1" customWidth="1"/>
    <col min="2569" max="2569" width="6.5" style="1" customWidth="1"/>
    <col min="2570" max="2570" width="8.5" style="1" customWidth="1"/>
    <col min="2571" max="2571" width="7.83203125" style="1" customWidth="1"/>
    <col min="2572" max="2572" width="7" style="1" customWidth="1"/>
    <col min="2573" max="2573" width="7.5" style="1" customWidth="1"/>
    <col min="2574" max="2574" width="7.1640625" style="1" customWidth="1"/>
    <col min="2575" max="2575" width="8" style="1" customWidth="1"/>
    <col min="2576" max="2578" width="7.5" style="1" customWidth="1"/>
    <col min="2579" max="2579" width="8" style="1" customWidth="1"/>
    <col min="2580" max="2580" width="10.5" style="1" customWidth="1"/>
    <col min="2581" max="2581" width="8" style="1" customWidth="1"/>
    <col min="2582" max="2582" width="2.33203125" style="1" customWidth="1"/>
    <col min="2583" max="2816" width="8.83203125" style="1"/>
    <col min="2817" max="2817" width="2.5" style="1" customWidth="1"/>
    <col min="2818" max="2818" width="2.33203125" style="1" customWidth="1"/>
    <col min="2819" max="2819" width="49.1640625" style="1" customWidth="1"/>
    <col min="2820" max="2820" width="11.1640625" style="1" customWidth="1"/>
    <col min="2821" max="2821" width="8.33203125" style="1" customWidth="1"/>
    <col min="2822" max="2822" width="8.1640625" style="1" customWidth="1"/>
    <col min="2823" max="2823" width="9" style="1" customWidth="1"/>
    <col min="2824" max="2824" width="9.1640625" style="1" customWidth="1"/>
    <col min="2825" max="2825" width="6.5" style="1" customWidth="1"/>
    <col min="2826" max="2826" width="8.5" style="1" customWidth="1"/>
    <col min="2827" max="2827" width="7.83203125" style="1" customWidth="1"/>
    <col min="2828" max="2828" width="7" style="1" customWidth="1"/>
    <col min="2829" max="2829" width="7.5" style="1" customWidth="1"/>
    <col min="2830" max="2830" width="7.1640625" style="1" customWidth="1"/>
    <col min="2831" max="2831" width="8" style="1" customWidth="1"/>
    <col min="2832" max="2834" width="7.5" style="1" customWidth="1"/>
    <col min="2835" max="2835" width="8" style="1" customWidth="1"/>
    <col min="2836" max="2836" width="10.5" style="1" customWidth="1"/>
    <col min="2837" max="2837" width="8" style="1" customWidth="1"/>
    <col min="2838" max="2838" width="2.33203125" style="1" customWidth="1"/>
    <col min="2839" max="3072" width="8.83203125" style="1"/>
    <col min="3073" max="3073" width="2.5" style="1" customWidth="1"/>
    <col min="3074" max="3074" width="2.33203125" style="1" customWidth="1"/>
    <col min="3075" max="3075" width="49.1640625" style="1" customWidth="1"/>
    <col min="3076" max="3076" width="11.1640625" style="1" customWidth="1"/>
    <col min="3077" max="3077" width="8.33203125" style="1" customWidth="1"/>
    <col min="3078" max="3078" width="8.1640625" style="1" customWidth="1"/>
    <col min="3079" max="3079" width="9" style="1" customWidth="1"/>
    <col min="3080" max="3080" width="9.1640625" style="1" customWidth="1"/>
    <col min="3081" max="3081" width="6.5" style="1" customWidth="1"/>
    <col min="3082" max="3082" width="8.5" style="1" customWidth="1"/>
    <col min="3083" max="3083" width="7.83203125" style="1" customWidth="1"/>
    <col min="3084" max="3084" width="7" style="1" customWidth="1"/>
    <col min="3085" max="3085" width="7.5" style="1" customWidth="1"/>
    <col min="3086" max="3086" width="7.1640625" style="1" customWidth="1"/>
    <col min="3087" max="3087" width="8" style="1" customWidth="1"/>
    <col min="3088" max="3090" width="7.5" style="1" customWidth="1"/>
    <col min="3091" max="3091" width="8" style="1" customWidth="1"/>
    <col min="3092" max="3092" width="10.5" style="1" customWidth="1"/>
    <col min="3093" max="3093" width="8" style="1" customWidth="1"/>
    <col min="3094" max="3094" width="2.33203125" style="1" customWidth="1"/>
    <col min="3095" max="3328" width="8.83203125" style="1"/>
    <col min="3329" max="3329" width="2.5" style="1" customWidth="1"/>
    <col min="3330" max="3330" width="2.33203125" style="1" customWidth="1"/>
    <col min="3331" max="3331" width="49.1640625" style="1" customWidth="1"/>
    <col min="3332" max="3332" width="11.1640625" style="1" customWidth="1"/>
    <col min="3333" max="3333" width="8.33203125" style="1" customWidth="1"/>
    <col min="3334" max="3334" width="8.1640625" style="1" customWidth="1"/>
    <col min="3335" max="3335" width="9" style="1" customWidth="1"/>
    <col min="3336" max="3336" width="9.1640625" style="1" customWidth="1"/>
    <col min="3337" max="3337" width="6.5" style="1" customWidth="1"/>
    <col min="3338" max="3338" width="8.5" style="1" customWidth="1"/>
    <col min="3339" max="3339" width="7.83203125" style="1" customWidth="1"/>
    <col min="3340" max="3340" width="7" style="1" customWidth="1"/>
    <col min="3341" max="3341" width="7.5" style="1" customWidth="1"/>
    <col min="3342" max="3342" width="7.1640625" style="1" customWidth="1"/>
    <col min="3343" max="3343" width="8" style="1" customWidth="1"/>
    <col min="3344" max="3346" width="7.5" style="1" customWidth="1"/>
    <col min="3347" max="3347" width="8" style="1" customWidth="1"/>
    <col min="3348" max="3348" width="10.5" style="1" customWidth="1"/>
    <col min="3349" max="3349" width="8" style="1" customWidth="1"/>
    <col min="3350" max="3350" width="2.33203125" style="1" customWidth="1"/>
    <col min="3351" max="3584" width="8.83203125" style="1"/>
    <col min="3585" max="3585" width="2.5" style="1" customWidth="1"/>
    <col min="3586" max="3586" width="2.33203125" style="1" customWidth="1"/>
    <col min="3587" max="3587" width="49.1640625" style="1" customWidth="1"/>
    <col min="3588" max="3588" width="11.1640625" style="1" customWidth="1"/>
    <col min="3589" max="3589" width="8.33203125" style="1" customWidth="1"/>
    <col min="3590" max="3590" width="8.1640625" style="1" customWidth="1"/>
    <col min="3591" max="3591" width="9" style="1" customWidth="1"/>
    <col min="3592" max="3592" width="9.1640625" style="1" customWidth="1"/>
    <col min="3593" max="3593" width="6.5" style="1" customWidth="1"/>
    <col min="3594" max="3594" width="8.5" style="1" customWidth="1"/>
    <col min="3595" max="3595" width="7.83203125" style="1" customWidth="1"/>
    <col min="3596" max="3596" width="7" style="1" customWidth="1"/>
    <col min="3597" max="3597" width="7.5" style="1" customWidth="1"/>
    <col min="3598" max="3598" width="7.1640625" style="1" customWidth="1"/>
    <col min="3599" max="3599" width="8" style="1" customWidth="1"/>
    <col min="3600" max="3602" width="7.5" style="1" customWidth="1"/>
    <col min="3603" max="3603" width="8" style="1" customWidth="1"/>
    <col min="3604" max="3604" width="10.5" style="1" customWidth="1"/>
    <col min="3605" max="3605" width="8" style="1" customWidth="1"/>
    <col min="3606" max="3606" width="2.33203125" style="1" customWidth="1"/>
    <col min="3607" max="3840" width="8.83203125" style="1"/>
    <col min="3841" max="3841" width="2.5" style="1" customWidth="1"/>
    <col min="3842" max="3842" width="2.33203125" style="1" customWidth="1"/>
    <col min="3843" max="3843" width="49.1640625" style="1" customWidth="1"/>
    <col min="3844" max="3844" width="11.1640625" style="1" customWidth="1"/>
    <col min="3845" max="3845" width="8.33203125" style="1" customWidth="1"/>
    <col min="3846" max="3846" width="8.1640625" style="1" customWidth="1"/>
    <col min="3847" max="3847" width="9" style="1" customWidth="1"/>
    <col min="3848" max="3848" width="9.1640625" style="1" customWidth="1"/>
    <col min="3849" max="3849" width="6.5" style="1" customWidth="1"/>
    <col min="3850" max="3850" width="8.5" style="1" customWidth="1"/>
    <col min="3851" max="3851" width="7.83203125" style="1" customWidth="1"/>
    <col min="3852" max="3852" width="7" style="1" customWidth="1"/>
    <col min="3853" max="3853" width="7.5" style="1" customWidth="1"/>
    <col min="3854" max="3854" width="7.1640625" style="1" customWidth="1"/>
    <col min="3855" max="3855" width="8" style="1" customWidth="1"/>
    <col min="3856" max="3858" width="7.5" style="1" customWidth="1"/>
    <col min="3859" max="3859" width="8" style="1" customWidth="1"/>
    <col min="3860" max="3860" width="10.5" style="1" customWidth="1"/>
    <col min="3861" max="3861" width="8" style="1" customWidth="1"/>
    <col min="3862" max="3862" width="2.33203125" style="1" customWidth="1"/>
    <col min="3863" max="4096" width="8.83203125" style="1"/>
    <col min="4097" max="4097" width="2.5" style="1" customWidth="1"/>
    <col min="4098" max="4098" width="2.33203125" style="1" customWidth="1"/>
    <col min="4099" max="4099" width="49.1640625" style="1" customWidth="1"/>
    <col min="4100" max="4100" width="11.1640625" style="1" customWidth="1"/>
    <col min="4101" max="4101" width="8.33203125" style="1" customWidth="1"/>
    <col min="4102" max="4102" width="8.1640625" style="1" customWidth="1"/>
    <col min="4103" max="4103" width="9" style="1" customWidth="1"/>
    <col min="4104" max="4104" width="9.1640625" style="1" customWidth="1"/>
    <col min="4105" max="4105" width="6.5" style="1" customWidth="1"/>
    <col min="4106" max="4106" width="8.5" style="1" customWidth="1"/>
    <col min="4107" max="4107" width="7.83203125" style="1" customWidth="1"/>
    <col min="4108" max="4108" width="7" style="1" customWidth="1"/>
    <col min="4109" max="4109" width="7.5" style="1" customWidth="1"/>
    <col min="4110" max="4110" width="7.1640625" style="1" customWidth="1"/>
    <col min="4111" max="4111" width="8" style="1" customWidth="1"/>
    <col min="4112" max="4114" width="7.5" style="1" customWidth="1"/>
    <col min="4115" max="4115" width="8" style="1" customWidth="1"/>
    <col min="4116" max="4116" width="10.5" style="1" customWidth="1"/>
    <col min="4117" max="4117" width="8" style="1" customWidth="1"/>
    <col min="4118" max="4118" width="2.33203125" style="1" customWidth="1"/>
    <col min="4119" max="4352" width="8.83203125" style="1"/>
    <col min="4353" max="4353" width="2.5" style="1" customWidth="1"/>
    <col min="4354" max="4354" width="2.33203125" style="1" customWidth="1"/>
    <col min="4355" max="4355" width="49.1640625" style="1" customWidth="1"/>
    <col min="4356" max="4356" width="11.1640625" style="1" customWidth="1"/>
    <col min="4357" max="4357" width="8.33203125" style="1" customWidth="1"/>
    <col min="4358" max="4358" width="8.1640625" style="1" customWidth="1"/>
    <col min="4359" max="4359" width="9" style="1" customWidth="1"/>
    <col min="4360" max="4360" width="9.1640625" style="1" customWidth="1"/>
    <col min="4361" max="4361" width="6.5" style="1" customWidth="1"/>
    <col min="4362" max="4362" width="8.5" style="1" customWidth="1"/>
    <col min="4363" max="4363" width="7.83203125" style="1" customWidth="1"/>
    <col min="4364" max="4364" width="7" style="1" customWidth="1"/>
    <col min="4365" max="4365" width="7.5" style="1" customWidth="1"/>
    <col min="4366" max="4366" width="7.1640625" style="1" customWidth="1"/>
    <col min="4367" max="4367" width="8" style="1" customWidth="1"/>
    <col min="4368" max="4370" width="7.5" style="1" customWidth="1"/>
    <col min="4371" max="4371" width="8" style="1" customWidth="1"/>
    <col min="4372" max="4372" width="10.5" style="1" customWidth="1"/>
    <col min="4373" max="4373" width="8" style="1" customWidth="1"/>
    <col min="4374" max="4374" width="2.33203125" style="1" customWidth="1"/>
    <col min="4375" max="4608" width="8.83203125" style="1"/>
    <col min="4609" max="4609" width="2.5" style="1" customWidth="1"/>
    <col min="4610" max="4610" width="2.33203125" style="1" customWidth="1"/>
    <col min="4611" max="4611" width="49.1640625" style="1" customWidth="1"/>
    <col min="4612" max="4612" width="11.1640625" style="1" customWidth="1"/>
    <col min="4613" max="4613" width="8.33203125" style="1" customWidth="1"/>
    <col min="4614" max="4614" width="8.1640625" style="1" customWidth="1"/>
    <col min="4615" max="4615" width="9" style="1" customWidth="1"/>
    <col min="4616" max="4616" width="9.1640625" style="1" customWidth="1"/>
    <col min="4617" max="4617" width="6.5" style="1" customWidth="1"/>
    <col min="4618" max="4618" width="8.5" style="1" customWidth="1"/>
    <col min="4619" max="4619" width="7.83203125" style="1" customWidth="1"/>
    <col min="4620" max="4620" width="7" style="1" customWidth="1"/>
    <col min="4621" max="4621" width="7.5" style="1" customWidth="1"/>
    <col min="4622" max="4622" width="7.1640625" style="1" customWidth="1"/>
    <col min="4623" max="4623" width="8" style="1" customWidth="1"/>
    <col min="4624" max="4626" width="7.5" style="1" customWidth="1"/>
    <col min="4627" max="4627" width="8" style="1" customWidth="1"/>
    <col min="4628" max="4628" width="10.5" style="1" customWidth="1"/>
    <col min="4629" max="4629" width="8" style="1" customWidth="1"/>
    <col min="4630" max="4630" width="2.33203125" style="1" customWidth="1"/>
    <col min="4631" max="4864" width="8.83203125" style="1"/>
    <col min="4865" max="4865" width="2.5" style="1" customWidth="1"/>
    <col min="4866" max="4866" width="2.33203125" style="1" customWidth="1"/>
    <col min="4867" max="4867" width="49.1640625" style="1" customWidth="1"/>
    <col min="4868" max="4868" width="11.1640625" style="1" customWidth="1"/>
    <col min="4869" max="4869" width="8.33203125" style="1" customWidth="1"/>
    <col min="4870" max="4870" width="8.1640625" style="1" customWidth="1"/>
    <col min="4871" max="4871" width="9" style="1" customWidth="1"/>
    <col min="4872" max="4872" width="9.1640625" style="1" customWidth="1"/>
    <col min="4873" max="4873" width="6.5" style="1" customWidth="1"/>
    <col min="4874" max="4874" width="8.5" style="1" customWidth="1"/>
    <col min="4875" max="4875" width="7.83203125" style="1" customWidth="1"/>
    <col min="4876" max="4876" width="7" style="1" customWidth="1"/>
    <col min="4877" max="4877" width="7.5" style="1" customWidth="1"/>
    <col min="4878" max="4878" width="7.1640625" style="1" customWidth="1"/>
    <col min="4879" max="4879" width="8" style="1" customWidth="1"/>
    <col min="4880" max="4882" width="7.5" style="1" customWidth="1"/>
    <col min="4883" max="4883" width="8" style="1" customWidth="1"/>
    <col min="4884" max="4884" width="10.5" style="1" customWidth="1"/>
    <col min="4885" max="4885" width="8" style="1" customWidth="1"/>
    <col min="4886" max="4886" width="2.33203125" style="1" customWidth="1"/>
    <col min="4887" max="5120" width="8.83203125" style="1"/>
    <col min="5121" max="5121" width="2.5" style="1" customWidth="1"/>
    <col min="5122" max="5122" width="2.33203125" style="1" customWidth="1"/>
    <col min="5123" max="5123" width="49.1640625" style="1" customWidth="1"/>
    <col min="5124" max="5124" width="11.1640625" style="1" customWidth="1"/>
    <col min="5125" max="5125" width="8.33203125" style="1" customWidth="1"/>
    <col min="5126" max="5126" width="8.1640625" style="1" customWidth="1"/>
    <col min="5127" max="5127" width="9" style="1" customWidth="1"/>
    <col min="5128" max="5128" width="9.1640625" style="1" customWidth="1"/>
    <col min="5129" max="5129" width="6.5" style="1" customWidth="1"/>
    <col min="5130" max="5130" width="8.5" style="1" customWidth="1"/>
    <col min="5131" max="5131" width="7.83203125" style="1" customWidth="1"/>
    <col min="5132" max="5132" width="7" style="1" customWidth="1"/>
    <col min="5133" max="5133" width="7.5" style="1" customWidth="1"/>
    <col min="5134" max="5134" width="7.1640625" style="1" customWidth="1"/>
    <col min="5135" max="5135" width="8" style="1" customWidth="1"/>
    <col min="5136" max="5138" width="7.5" style="1" customWidth="1"/>
    <col min="5139" max="5139" width="8" style="1" customWidth="1"/>
    <col min="5140" max="5140" width="10.5" style="1" customWidth="1"/>
    <col min="5141" max="5141" width="8" style="1" customWidth="1"/>
    <col min="5142" max="5142" width="2.33203125" style="1" customWidth="1"/>
    <col min="5143" max="5376" width="8.83203125" style="1"/>
    <col min="5377" max="5377" width="2.5" style="1" customWidth="1"/>
    <col min="5378" max="5378" width="2.33203125" style="1" customWidth="1"/>
    <col min="5379" max="5379" width="49.1640625" style="1" customWidth="1"/>
    <col min="5380" max="5380" width="11.1640625" style="1" customWidth="1"/>
    <col min="5381" max="5381" width="8.33203125" style="1" customWidth="1"/>
    <col min="5382" max="5382" width="8.1640625" style="1" customWidth="1"/>
    <col min="5383" max="5383" width="9" style="1" customWidth="1"/>
    <col min="5384" max="5384" width="9.1640625" style="1" customWidth="1"/>
    <col min="5385" max="5385" width="6.5" style="1" customWidth="1"/>
    <col min="5386" max="5386" width="8.5" style="1" customWidth="1"/>
    <col min="5387" max="5387" width="7.83203125" style="1" customWidth="1"/>
    <col min="5388" max="5388" width="7" style="1" customWidth="1"/>
    <col min="5389" max="5389" width="7.5" style="1" customWidth="1"/>
    <col min="5390" max="5390" width="7.1640625" style="1" customWidth="1"/>
    <col min="5391" max="5391" width="8" style="1" customWidth="1"/>
    <col min="5392" max="5394" width="7.5" style="1" customWidth="1"/>
    <col min="5395" max="5395" width="8" style="1" customWidth="1"/>
    <col min="5396" max="5396" width="10.5" style="1" customWidth="1"/>
    <col min="5397" max="5397" width="8" style="1" customWidth="1"/>
    <col min="5398" max="5398" width="2.33203125" style="1" customWidth="1"/>
    <col min="5399" max="5632" width="8.83203125" style="1"/>
    <col min="5633" max="5633" width="2.5" style="1" customWidth="1"/>
    <col min="5634" max="5634" width="2.33203125" style="1" customWidth="1"/>
    <col min="5635" max="5635" width="49.1640625" style="1" customWidth="1"/>
    <col min="5636" max="5636" width="11.1640625" style="1" customWidth="1"/>
    <col min="5637" max="5637" width="8.33203125" style="1" customWidth="1"/>
    <col min="5638" max="5638" width="8.1640625" style="1" customWidth="1"/>
    <col min="5639" max="5639" width="9" style="1" customWidth="1"/>
    <col min="5640" max="5640" width="9.1640625" style="1" customWidth="1"/>
    <col min="5641" max="5641" width="6.5" style="1" customWidth="1"/>
    <col min="5642" max="5642" width="8.5" style="1" customWidth="1"/>
    <col min="5643" max="5643" width="7.83203125" style="1" customWidth="1"/>
    <col min="5644" max="5644" width="7" style="1" customWidth="1"/>
    <col min="5645" max="5645" width="7.5" style="1" customWidth="1"/>
    <col min="5646" max="5646" width="7.1640625" style="1" customWidth="1"/>
    <col min="5647" max="5647" width="8" style="1" customWidth="1"/>
    <col min="5648" max="5650" width="7.5" style="1" customWidth="1"/>
    <col min="5651" max="5651" width="8" style="1" customWidth="1"/>
    <col min="5652" max="5652" width="10.5" style="1" customWidth="1"/>
    <col min="5653" max="5653" width="8" style="1" customWidth="1"/>
    <col min="5654" max="5654" width="2.33203125" style="1" customWidth="1"/>
    <col min="5655" max="5888" width="8.83203125" style="1"/>
    <col min="5889" max="5889" width="2.5" style="1" customWidth="1"/>
    <col min="5890" max="5890" width="2.33203125" style="1" customWidth="1"/>
    <col min="5891" max="5891" width="49.1640625" style="1" customWidth="1"/>
    <col min="5892" max="5892" width="11.1640625" style="1" customWidth="1"/>
    <col min="5893" max="5893" width="8.33203125" style="1" customWidth="1"/>
    <col min="5894" max="5894" width="8.1640625" style="1" customWidth="1"/>
    <col min="5895" max="5895" width="9" style="1" customWidth="1"/>
    <col min="5896" max="5896" width="9.1640625" style="1" customWidth="1"/>
    <col min="5897" max="5897" width="6.5" style="1" customWidth="1"/>
    <col min="5898" max="5898" width="8.5" style="1" customWidth="1"/>
    <col min="5899" max="5899" width="7.83203125" style="1" customWidth="1"/>
    <col min="5900" max="5900" width="7" style="1" customWidth="1"/>
    <col min="5901" max="5901" width="7.5" style="1" customWidth="1"/>
    <col min="5902" max="5902" width="7.1640625" style="1" customWidth="1"/>
    <col min="5903" max="5903" width="8" style="1" customWidth="1"/>
    <col min="5904" max="5906" width="7.5" style="1" customWidth="1"/>
    <col min="5907" max="5907" width="8" style="1" customWidth="1"/>
    <col min="5908" max="5908" width="10.5" style="1" customWidth="1"/>
    <col min="5909" max="5909" width="8" style="1" customWidth="1"/>
    <col min="5910" max="5910" width="2.33203125" style="1" customWidth="1"/>
    <col min="5911" max="6144" width="8.83203125" style="1"/>
    <col min="6145" max="6145" width="2.5" style="1" customWidth="1"/>
    <col min="6146" max="6146" width="2.33203125" style="1" customWidth="1"/>
    <col min="6147" max="6147" width="49.1640625" style="1" customWidth="1"/>
    <col min="6148" max="6148" width="11.1640625" style="1" customWidth="1"/>
    <col min="6149" max="6149" width="8.33203125" style="1" customWidth="1"/>
    <col min="6150" max="6150" width="8.1640625" style="1" customWidth="1"/>
    <col min="6151" max="6151" width="9" style="1" customWidth="1"/>
    <col min="6152" max="6152" width="9.1640625" style="1" customWidth="1"/>
    <col min="6153" max="6153" width="6.5" style="1" customWidth="1"/>
    <col min="6154" max="6154" width="8.5" style="1" customWidth="1"/>
    <col min="6155" max="6155" width="7.83203125" style="1" customWidth="1"/>
    <col min="6156" max="6156" width="7" style="1" customWidth="1"/>
    <col min="6157" max="6157" width="7.5" style="1" customWidth="1"/>
    <col min="6158" max="6158" width="7.1640625" style="1" customWidth="1"/>
    <col min="6159" max="6159" width="8" style="1" customWidth="1"/>
    <col min="6160" max="6162" width="7.5" style="1" customWidth="1"/>
    <col min="6163" max="6163" width="8" style="1" customWidth="1"/>
    <col min="6164" max="6164" width="10.5" style="1" customWidth="1"/>
    <col min="6165" max="6165" width="8" style="1" customWidth="1"/>
    <col min="6166" max="6166" width="2.33203125" style="1" customWidth="1"/>
    <col min="6167" max="6400" width="8.83203125" style="1"/>
    <col min="6401" max="6401" width="2.5" style="1" customWidth="1"/>
    <col min="6402" max="6402" width="2.33203125" style="1" customWidth="1"/>
    <col min="6403" max="6403" width="49.1640625" style="1" customWidth="1"/>
    <col min="6404" max="6404" width="11.1640625" style="1" customWidth="1"/>
    <col min="6405" max="6405" width="8.33203125" style="1" customWidth="1"/>
    <col min="6406" max="6406" width="8.1640625" style="1" customWidth="1"/>
    <col min="6407" max="6407" width="9" style="1" customWidth="1"/>
    <col min="6408" max="6408" width="9.1640625" style="1" customWidth="1"/>
    <col min="6409" max="6409" width="6.5" style="1" customWidth="1"/>
    <col min="6410" max="6410" width="8.5" style="1" customWidth="1"/>
    <col min="6411" max="6411" width="7.83203125" style="1" customWidth="1"/>
    <col min="6412" max="6412" width="7" style="1" customWidth="1"/>
    <col min="6413" max="6413" width="7.5" style="1" customWidth="1"/>
    <col min="6414" max="6414" width="7.1640625" style="1" customWidth="1"/>
    <col min="6415" max="6415" width="8" style="1" customWidth="1"/>
    <col min="6416" max="6418" width="7.5" style="1" customWidth="1"/>
    <col min="6419" max="6419" width="8" style="1" customWidth="1"/>
    <col min="6420" max="6420" width="10.5" style="1" customWidth="1"/>
    <col min="6421" max="6421" width="8" style="1" customWidth="1"/>
    <col min="6422" max="6422" width="2.33203125" style="1" customWidth="1"/>
    <col min="6423" max="6656" width="8.83203125" style="1"/>
    <col min="6657" max="6657" width="2.5" style="1" customWidth="1"/>
    <col min="6658" max="6658" width="2.33203125" style="1" customWidth="1"/>
    <col min="6659" max="6659" width="49.1640625" style="1" customWidth="1"/>
    <col min="6660" max="6660" width="11.1640625" style="1" customWidth="1"/>
    <col min="6661" max="6661" width="8.33203125" style="1" customWidth="1"/>
    <col min="6662" max="6662" width="8.1640625" style="1" customWidth="1"/>
    <col min="6663" max="6663" width="9" style="1" customWidth="1"/>
    <col min="6664" max="6664" width="9.1640625" style="1" customWidth="1"/>
    <col min="6665" max="6665" width="6.5" style="1" customWidth="1"/>
    <col min="6666" max="6666" width="8.5" style="1" customWidth="1"/>
    <col min="6667" max="6667" width="7.83203125" style="1" customWidth="1"/>
    <col min="6668" max="6668" width="7" style="1" customWidth="1"/>
    <col min="6669" max="6669" width="7.5" style="1" customWidth="1"/>
    <col min="6670" max="6670" width="7.1640625" style="1" customWidth="1"/>
    <col min="6671" max="6671" width="8" style="1" customWidth="1"/>
    <col min="6672" max="6674" width="7.5" style="1" customWidth="1"/>
    <col min="6675" max="6675" width="8" style="1" customWidth="1"/>
    <col min="6676" max="6676" width="10.5" style="1" customWidth="1"/>
    <col min="6677" max="6677" width="8" style="1" customWidth="1"/>
    <col min="6678" max="6678" width="2.33203125" style="1" customWidth="1"/>
    <col min="6679" max="6912" width="8.83203125" style="1"/>
    <col min="6913" max="6913" width="2.5" style="1" customWidth="1"/>
    <col min="6914" max="6914" width="2.33203125" style="1" customWidth="1"/>
    <col min="6915" max="6915" width="49.1640625" style="1" customWidth="1"/>
    <col min="6916" max="6916" width="11.1640625" style="1" customWidth="1"/>
    <col min="6917" max="6917" width="8.33203125" style="1" customWidth="1"/>
    <col min="6918" max="6918" width="8.1640625" style="1" customWidth="1"/>
    <col min="6919" max="6919" width="9" style="1" customWidth="1"/>
    <col min="6920" max="6920" width="9.1640625" style="1" customWidth="1"/>
    <col min="6921" max="6921" width="6.5" style="1" customWidth="1"/>
    <col min="6922" max="6922" width="8.5" style="1" customWidth="1"/>
    <col min="6923" max="6923" width="7.83203125" style="1" customWidth="1"/>
    <col min="6924" max="6924" width="7" style="1" customWidth="1"/>
    <col min="6925" max="6925" width="7.5" style="1" customWidth="1"/>
    <col min="6926" max="6926" width="7.1640625" style="1" customWidth="1"/>
    <col min="6927" max="6927" width="8" style="1" customWidth="1"/>
    <col min="6928" max="6930" width="7.5" style="1" customWidth="1"/>
    <col min="6931" max="6931" width="8" style="1" customWidth="1"/>
    <col min="6932" max="6932" width="10.5" style="1" customWidth="1"/>
    <col min="6933" max="6933" width="8" style="1" customWidth="1"/>
    <col min="6934" max="6934" width="2.33203125" style="1" customWidth="1"/>
    <col min="6935" max="7168" width="8.83203125" style="1"/>
    <col min="7169" max="7169" width="2.5" style="1" customWidth="1"/>
    <col min="7170" max="7170" width="2.33203125" style="1" customWidth="1"/>
    <col min="7171" max="7171" width="49.1640625" style="1" customWidth="1"/>
    <col min="7172" max="7172" width="11.1640625" style="1" customWidth="1"/>
    <col min="7173" max="7173" width="8.33203125" style="1" customWidth="1"/>
    <col min="7174" max="7174" width="8.1640625" style="1" customWidth="1"/>
    <col min="7175" max="7175" width="9" style="1" customWidth="1"/>
    <col min="7176" max="7176" width="9.1640625" style="1" customWidth="1"/>
    <col min="7177" max="7177" width="6.5" style="1" customWidth="1"/>
    <col min="7178" max="7178" width="8.5" style="1" customWidth="1"/>
    <col min="7179" max="7179" width="7.83203125" style="1" customWidth="1"/>
    <col min="7180" max="7180" width="7" style="1" customWidth="1"/>
    <col min="7181" max="7181" width="7.5" style="1" customWidth="1"/>
    <col min="7182" max="7182" width="7.1640625" style="1" customWidth="1"/>
    <col min="7183" max="7183" width="8" style="1" customWidth="1"/>
    <col min="7184" max="7186" width="7.5" style="1" customWidth="1"/>
    <col min="7187" max="7187" width="8" style="1" customWidth="1"/>
    <col min="7188" max="7188" width="10.5" style="1" customWidth="1"/>
    <col min="7189" max="7189" width="8" style="1" customWidth="1"/>
    <col min="7190" max="7190" width="2.33203125" style="1" customWidth="1"/>
    <col min="7191" max="7424" width="8.83203125" style="1"/>
    <col min="7425" max="7425" width="2.5" style="1" customWidth="1"/>
    <col min="7426" max="7426" width="2.33203125" style="1" customWidth="1"/>
    <col min="7427" max="7427" width="49.1640625" style="1" customWidth="1"/>
    <col min="7428" max="7428" width="11.1640625" style="1" customWidth="1"/>
    <col min="7429" max="7429" width="8.33203125" style="1" customWidth="1"/>
    <col min="7430" max="7430" width="8.1640625" style="1" customWidth="1"/>
    <col min="7431" max="7431" width="9" style="1" customWidth="1"/>
    <col min="7432" max="7432" width="9.1640625" style="1" customWidth="1"/>
    <col min="7433" max="7433" width="6.5" style="1" customWidth="1"/>
    <col min="7434" max="7434" width="8.5" style="1" customWidth="1"/>
    <col min="7435" max="7435" width="7.83203125" style="1" customWidth="1"/>
    <col min="7436" max="7436" width="7" style="1" customWidth="1"/>
    <col min="7437" max="7437" width="7.5" style="1" customWidth="1"/>
    <col min="7438" max="7438" width="7.1640625" style="1" customWidth="1"/>
    <col min="7439" max="7439" width="8" style="1" customWidth="1"/>
    <col min="7440" max="7442" width="7.5" style="1" customWidth="1"/>
    <col min="7443" max="7443" width="8" style="1" customWidth="1"/>
    <col min="7444" max="7444" width="10.5" style="1" customWidth="1"/>
    <col min="7445" max="7445" width="8" style="1" customWidth="1"/>
    <col min="7446" max="7446" width="2.33203125" style="1" customWidth="1"/>
    <col min="7447" max="7680" width="8.83203125" style="1"/>
    <col min="7681" max="7681" width="2.5" style="1" customWidth="1"/>
    <col min="7682" max="7682" width="2.33203125" style="1" customWidth="1"/>
    <col min="7683" max="7683" width="49.1640625" style="1" customWidth="1"/>
    <col min="7684" max="7684" width="11.1640625" style="1" customWidth="1"/>
    <col min="7685" max="7685" width="8.33203125" style="1" customWidth="1"/>
    <col min="7686" max="7686" width="8.1640625" style="1" customWidth="1"/>
    <col min="7687" max="7687" width="9" style="1" customWidth="1"/>
    <col min="7688" max="7688" width="9.1640625" style="1" customWidth="1"/>
    <col min="7689" max="7689" width="6.5" style="1" customWidth="1"/>
    <col min="7690" max="7690" width="8.5" style="1" customWidth="1"/>
    <col min="7691" max="7691" width="7.83203125" style="1" customWidth="1"/>
    <col min="7692" max="7692" width="7" style="1" customWidth="1"/>
    <col min="7693" max="7693" width="7.5" style="1" customWidth="1"/>
    <col min="7694" max="7694" width="7.1640625" style="1" customWidth="1"/>
    <col min="7695" max="7695" width="8" style="1" customWidth="1"/>
    <col min="7696" max="7698" width="7.5" style="1" customWidth="1"/>
    <col min="7699" max="7699" width="8" style="1" customWidth="1"/>
    <col min="7700" max="7700" width="10.5" style="1" customWidth="1"/>
    <col min="7701" max="7701" width="8" style="1" customWidth="1"/>
    <col min="7702" max="7702" width="2.33203125" style="1" customWidth="1"/>
    <col min="7703" max="7936" width="8.83203125" style="1"/>
    <col min="7937" max="7937" width="2.5" style="1" customWidth="1"/>
    <col min="7938" max="7938" width="2.33203125" style="1" customWidth="1"/>
    <col min="7939" max="7939" width="49.1640625" style="1" customWidth="1"/>
    <col min="7940" max="7940" width="11.1640625" style="1" customWidth="1"/>
    <col min="7941" max="7941" width="8.33203125" style="1" customWidth="1"/>
    <col min="7942" max="7942" width="8.1640625" style="1" customWidth="1"/>
    <col min="7943" max="7943" width="9" style="1" customWidth="1"/>
    <col min="7944" max="7944" width="9.1640625" style="1" customWidth="1"/>
    <col min="7945" max="7945" width="6.5" style="1" customWidth="1"/>
    <col min="7946" max="7946" width="8.5" style="1" customWidth="1"/>
    <col min="7947" max="7947" width="7.83203125" style="1" customWidth="1"/>
    <col min="7948" max="7948" width="7" style="1" customWidth="1"/>
    <col min="7949" max="7949" width="7.5" style="1" customWidth="1"/>
    <col min="7950" max="7950" width="7.1640625" style="1" customWidth="1"/>
    <col min="7951" max="7951" width="8" style="1" customWidth="1"/>
    <col min="7952" max="7954" width="7.5" style="1" customWidth="1"/>
    <col min="7955" max="7955" width="8" style="1" customWidth="1"/>
    <col min="7956" max="7956" width="10.5" style="1" customWidth="1"/>
    <col min="7957" max="7957" width="8" style="1" customWidth="1"/>
    <col min="7958" max="7958" width="2.33203125" style="1" customWidth="1"/>
    <col min="7959" max="8192" width="8.83203125" style="1"/>
    <col min="8193" max="8193" width="2.5" style="1" customWidth="1"/>
    <col min="8194" max="8194" width="2.33203125" style="1" customWidth="1"/>
    <col min="8195" max="8195" width="49.1640625" style="1" customWidth="1"/>
    <col min="8196" max="8196" width="11.1640625" style="1" customWidth="1"/>
    <col min="8197" max="8197" width="8.33203125" style="1" customWidth="1"/>
    <col min="8198" max="8198" width="8.1640625" style="1" customWidth="1"/>
    <col min="8199" max="8199" width="9" style="1" customWidth="1"/>
    <col min="8200" max="8200" width="9.1640625" style="1" customWidth="1"/>
    <col min="8201" max="8201" width="6.5" style="1" customWidth="1"/>
    <col min="8202" max="8202" width="8.5" style="1" customWidth="1"/>
    <col min="8203" max="8203" width="7.83203125" style="1" customWidth="1"/>
    <col min="8204" max="8204" width="7" style="1" customWidth="1"/>
    <col min="8205" max="8205" width="7.5" style="1" customWidth="1"/>
    <col min="8206" max="8206" width="7.1640625" style="1" customWidth="1"/>
    <col min="8207" max="8207" width="8" style="1" customWidth="1"/>
    <col min="8208" max="8210" width="7.5" style="1" customWidth="1"/>
    <col min="8211" max="8211" width="8" style="1" customWidth="1"/>
    <col min="8212" max="8212" width="10.5" style="1" customWidth="1"/>
    <col min="8213" max="8213" width="8" style="1" customWidth="1"/>
    <col min="8214" max="8214" width="2.33203125" style="1" customWidth="1"/>
    <col min="8215" max="8448" width="8.83203125" style="1"/>
    <col min="8449" max="8449" width="2.5" style="1" customWidth="1"/>
    <col min="8450" max="8450" width="2.33203125" style="1" customWidth="1"/>
    <col min="8451" max="8451" width="49.1640625" style="1" customWidth="1"/>
    <col min="8452" max="8452" width="11.1640625" style="1" customWidth="1"/>
    <col min="8453" max="8453" width="8.33203125" style="1" customWidth="1"/>
    <col min="8454" max="8454" width="8.1640625" style="1" customWidth="1"/>
    <col min="8455" max="8455" width="9" style="1" customWidth="1"/>
    <col min="8456" max="8456" width="9.1640625" style="1" customWidth="1"/>
    <col min="8457" max="8457" width="6.5" style="1" customWidth="1"/>
    <col min="8458" max="8458" width="8.5" style="1" customWidth="1"/>
    <col min="8459" max="8459" width="7.83203125" style="1" customWidth="1"/>
    <col min="8460" max="8460" width="7" style="1" customWidth="1"/>
    <col min="8461" max="8461" width="7.5" style="1" customWidth="1"/>
    <col min="8462" max="8462" width="7.1640625" style="1" customWidth="1"/>
    <col min="8463" max="8463" width="8" style="1" customWidth="1"/>
    <col min="8464" max="8466" width="7.5" style="1" customWidth="1"/>
    <col min="8467" max="8467" width="8" style="1" customWidth="1"/>
    <col min="8468" max="8468" width="10.5" style="1" customWidth="1"/>
    <col min="8469" max="8469" width="8" style="1" customWidth="1"/>
    <col min="8470" max="8470" width="2.33203125" style="1" customWidth="1"/>
    <col min="8471" max="8704" width="8.83203125" style="1"/>
    <col min="8705" max="8705" width="2.5" style="1" customWidth="1"/>
    <col min="8706" max="8706" width="2.33203125" style="1" customWidth="1"/>
    <col min="8707" max="8707" width="49.1640625" style="1" customWidth="1"/>
    <col min="8708" max="8708" width="11.1640625" style="1" customWidth="1"/>
    <col min="8709" max="8709" width="8.33203125" style="1" customWidth="1"/>
    <col min="8710" max="8710" width="8.1640625" style="1" customWidth="1"/>
    <col min="8711" max="8711" width="9" style="1" customWidth="1"/>
    <col min="8712" max="8712" width="9.1640625" style="1" customWidth="1"/>
    <col min="8713" max="8713" width="6.5" style="1" customWidth="1"/>
    <col min="8714" max="8714" width="8.5" style="1" customWidth="1"/>
    <col min="8715" max="8715" width="7.83203125" style="1" customWidth="1"/>
    <col min="8716" max="8716" width="7" style="1" customWidth="1"/>
    <col min="8717" max="8717" width="7.5" style="1" customWidth="1"/>
    <col min="8718" max="8718" width="7.1640625" style="1" customWidth="1"/>
    <col min="8719" max="8719" width="8" style="1" customWidth="1"/>
    <col min="8720" max="8722" width="7.5" style="1" customWidth="1"/>
    <col min="8723" max="8723" width="8" style="1" customWidth="1"/>
    <col min="8724" max="8724" width="10.5" style="1" customWidth="1"/>
    <col min="8725" max="8725" width="8" style="1" customWidth="1"/>
    <col min="8726" max="8726" width="2.33203125" style="1" customWidth="1"/>
    <col min="8727" max="8960" width="8.83203125" style="1"/>
    <col min="8961" max="8961" width="2.5" style="1" customWidth="1"/>
    <col min="8962" max="8962" width="2.33203125" style="1" customWidth="1"/>
    <col min="8963" max="8963" width="49.1640625" style="1" customWidth="1"/>
    <col min="8964" max="8964" width="11.1640625" style="1" customWidth="1"/>
    <col min="8965" max="8965" width="8.33203125" style="1" customWidth="1"/>
    <col min="8966" max="8966" width="8.1640625" style="1" customWidth="1"/>
    <col min="8967" max="8967" width="9" style="1" customWidth="1"/>
    <col min="8968" max="8968" width="9.1640625" style="1" customWidth="1"/>
    <col min="8969" max="8969" width="6.5" style="1" customWidth="1"/>
    <col min="8970" max="8970" width="8.5" style="1" customWidth="1"/>
    <col min="8971" max="8971" width="7.83203125" style="1" customWidth="1"/>
    <col min="8972" max="8972" width="7" style="1" customWidth="1"/>
    <col min="8973" max="8973" width="7.5" style="1" customWidth="1"/>
    <col min="8974" max="8974" width="7.1640625" style="1" customWidth="1"/>
    <col min="8975" max="8975" width="8" style="1" customWidth="1"/>
    <col min="8976" max="8978" width="7.5" style="1" customWidth="1"/>
    <col min="8979" max="8979" width="8" style="1" customWidth="1"/>
    <col min="8980" max="8980" width="10.5" style="1" customWidth="1"/>
    <col min="8981" max="8981" width="8" style="1" customWidth="1"/>
    <col min="8982" max="8982" width="2.33203125" style="1" customWidth="1"/>
    <col min="8983" max="9216" width="8.83203125" style="1"/>
    <col min="9217" max="9217" width="2.5" style="1" customWidth="1"/>
    <col min="9218" max="9218" width="2.33203125" style="1" customWidth="1"/>
    <col min="9219" max="9219" width="49.1640625" style="1" customWidth="1"/>
    <col min="9220" max="9220" width="11.1640625" style="1" customWidth="1"/>
    <col min="9221" max="9221" width="8.33203125" style="1" customWidth="1"/>
    <col min="9222" max="9222" width="8.1640625" style="1" customWidth="1"/>
    <col min="9223" max="9223" width="9" style="1" customWidth="1"/>
    <col min="9224" max="9224" width="9.1640625" style="1" customWidth="1"/>
    <col min="9225" max="9225" width="6.5" style="1" customWidth="1"/>
    <col min="9226" max="9226" width="8.5" style="1" customWidth="1"/>
    <col min="9227" max="9227" width="7.83203125" style="1" customWidth="1"/>
    <col min="9228" max="9228" width="7" style="1" customWidth="1"/>
    <col min="9229" max="9229" width="7.5" style="1" customWidth="1"/>
    <col min="9230" max="9230" width="7.1640625" style="1" customWidth="1"/>
    <col min="9231" max="9231" width="8" style="1" customWidth="1"/>
    <col min="9232" max="9234" width="7.5" style="1" customWidth="1"/>
    <col min="9235" max="9235" width="8" style="1" customWidth="1"/>
    <col min="9236" max="9236" width="10.5" style="1" customWidth="1"/>
    <col min="9237" max="9237" width="8" style="1" customWidth="1"/>
    <col min="9238" max="9238" width="2.33203125" style="1" customWidth="1"/>
    <col min="9239" max="9472" width="8.83203125" style="1"/>
    <col min="9473" max="9473" width="2.5" style="1" customWidth="1"/>
    <col min="9474" max="9474" width="2.33203125" style="1" customWidth="1"/>
    <col min="9475" max="9475" width="49.1640625" style="1" customWidth="1"/>
    <col min="9476" max="9476" width="11.1640625" style="1" customWidth="1"/>
    <col min="9477" max="9477" width="8.33203125" style="1" customWidth="1"/>
    <col min="9478" max="9478" width="8.1640625" style="1" customWidth="1"/>
    <col min="9479" max="9479" width="9" style="1" customWidth="1"/>
    <col min="9480" max="9480" width="9.1640625" style="1" customWidth="1"/>
    <col min="9481" max="9481" width="6.5" style="1" customWidth="1"/>
    <col min="9482" max="9482" width="8.5" style="1" customWidth="1"/>
    <col min="9483" max="9483" width="7.83203125" style="1" customWidth="1"/>
    <col min="9484" max="9484" width="7" style="1" customWidth="1"/>
    <col min="9485" max="9485" width="7.5" style="1" customWidth="1"/>
    <col min="9486" max="9486" width="7.1640625" style="1" customWidth="1"/>
    <col min="9487" max="9487" width="8" style="1" customWidth="1"/>
    <col min="9488" max="9490" width="7.5" style="1" customWidth="1"/>
    <col min="9491" max="9491" width="8" style="1" customWidth="1"/>
    <col min="9492" max="9492" width="10.5" style="1" customWidth="1"/>
    <col min="9493" max="9493" width="8" style="1" customWidth="1"/>
    <col min="9494" max="9494" width="2.33203125" style="1" customWidth="1"/>
    <col min="9495" max="9728" width="8.83203125" style="1"/>
    <col min="9729" max="9729" width="2.5" style="1" customWidth="1"/>
    <col min="9730" max="9730" width="2.33203125" style="1" customWidth="1"/>
    <col min="9731" max="9731" width="49.1640625" style="1" customWidth="1"/>
    <col min="9732" max="9732" width="11.1640625" style="1" customWidth="1"/>
    <col min="9733" max="9733" width="8.33203125" style="1" customWidth="1"/>
    <col min="9734" max="9734" width="8.1640625" style="1" customWidth="1"/>
    <col min="9735" max="9735" width="9" style="1" customWidth="1"/>
    <col min="9736" max="9736" width="9.1640625" style="1" customWidth="1"/>
    <col min="9737" max="9737" width="6.5" style="1" customWidth="1"/>
    <col min="9738" max="9738" width="8.5" style="1" customWidth="1"/>
    <col min="9739" max="9739" width="7.83203125" style="1" customWidth="1"/>
    <col min="9740" max="9740" width="7" style="1" customWidth="1"/>
    <col min="9741" max="9741" width="7.5" style="1" customWidth="1"/>
    <col min="9742" max="9742" width="7.1640625" style="1" customWidth="1"/>
    <col min="9743" max="9743" width="8" style="1" customWidth="1"/>
    <col min="9744" max="9746" width="7.5" style="1" customWidth="1"/>
    <col min="9747" max="9747" width="8" style="1" customWidth="1"/>
    <col min="9748" max="9748" width="10.5" style="1" customWidth="1"/>
    <col min="9749" max="9749" width="8" style="1" customWidth="1"/>
    <col min="9750" max="9750" width="2.33203125" style="1" customWidth="1"/>
    <col min="9751" max="9984" width="8.83203125" style="1"/>
    <col min="9985" max="9985" width="2.5" style="1" customWidth="1"/>
    <col min="9986" max="9986" width="2.33203125" style="1" customWidth="1"/>
    <col min="9987" max="9987" width="49.1640625" style="1" customWidth="1"/>
    <col min="9988" max="9988" width="11.1640625" style="1" customWidth="1"/>
    <col min="9989" max="9989" width="8.33203125" style="1" customWidth="1"/>
    <col min="9990" max="9990" width="8.1640625" style="1" customWidth="1"/>
    <col min="9991" max="9991" width="9" style="1" customWidth="1"/>
    <col min="9992" max="9992" width="9.1640625" style="1" customWidth="1"/>
    <col min="9993" max="9993" width="6.5" style="1" customWidth="1"/>
    <col min="9994" max="9994" width="8.5" style="1" customWidth="1"/>
    <col min="9995" max="9995" width="7.83203125" style="1" customWidth="1"/>
    <col min="9996" max="9996" width="7" style="1" customWidth="1"/>
    <col min="9997" max="9997" width="7.5" style="1" customWidth="1"/>
    <col min="9998" max="9998" width="7.1640625" style="1" customWidth="1"/>
    <col min="9999" max="9999" width="8" style="1" customWidth="1"/>
    <col min="10000" max="10002" width="7.5" style="1" customWidth="1"/>
    <col min="10003" max="10003" width="8" style="1" customWidth="1"/>
    <col min="10004" max="10004" width="10.5" style="1" customWidth="1"/>
    <col min="10005" max="10005" width="8" style="1" customWidth="1"/>
    <col min="10006" max="10006" width="2.33203125" style="1" customWidth="1"/>
    <col min="10007" max="10240" width="8.83203125" style="1"/>
    <col min="10241" max="10241" width="2.5" style="1" customWidth="1"/>
    <col min="10242" max="10242" width="2.33203125" style="1" customWidth="1"/>
    <col min="10243" max="10243" width="49.1640625" style="1" customWidth="1"/>
    <col min="10244" max="10244" width="11.1640625" style="1" customWidth="1"/>
    <col min="10245" max="10245" width="8.33203125" style="1" customWidth="1"/>
    <col min="10246" max="10246" width="8.1640625" style="1" customWidth="1"/>
    <col min="10247" max="10247" width="9" style="1" customWidth="1"/>
    <col min="10248" max="10248" width="9.1640625" style="1" customWidth="1"/>
    <col min="10249" max="10249" width="6.5" style="1" customWidth="1"/>
    <col min="10250" max="10250" width="8.5" style="1" customWidth="1"/>
    <col min="10251" max="10251" width="7.83203125" style="1" customWidth="1"/>
    <col min="10252" max="10252" width="7" style="1" customWidth="1"/>
    <col min="10253" max="10253" width="7.5" style="1" customWidth="1"/>
    <col min="10254" max="10254" width="7.1640625" style="1" customWidth="1"/>
    <col min="10255" max="10255" width="8" style="1" customWidth="1"/>
    <col min="10256" max="10258" width="7.5" style="1" customWidth="1"/>
    <col min="10259" max="10259" width="8" style="1" customWidth="1"/>
    <col min="10260" max="10260" width="10.5" style="1" customWidth="1"/>
    <col min="10261" max="10261" width="8" style="1" customWidth="1"/>
    <col min="10262" max="10262" width="2.33203125" style="1" customWidth="1"/>
    <col min="10263" max="10496" width="8.83203125" style="1"/>
    <col min="10497" max="10497" width="2.5" style="1" customWidth="1"/>
    <col min="10498" max="10498" width="2.33203125" style="1" customWidth="1"/>
    <col min="10499" max="10499" width="49.1640625" style="1" customWidth="1"/>
    <col min="10500" max="10500" width="11.1640625" style="1" customWidth="1"/>
    <col min="10501" max="10501" width="8.33203125" style="1" customWidth="1"/>
    <col min="10502" max="10502" width="8.1640625" style="1" customWidth="1"/>
    <col min="10503" max="10503" width="9" style="1" customWidth="1"/>
    <col min="10504" max="10504" width="9.1640625" style="1" customWidth="1"/>
    <col min="10505" max="10505" width="6.5" style="1" customWidth="1"/>
    <col min="10506" max="10506" width="8.5" style="1" customWidth="1"/>
    <col min="10507" max="10507" width="7.83203125" style="1" customWidth="1"/>
    <col min="10508" max="10508" width="7" style="1" customWidth="1"/>
    <col min="10509" max="10509" width="7.5" style="1" customWidth="1"/>
    <col min="10510" max="10510" width="7.1640625" style="1" customWidth="1"/>
    <col min="10511" max="10511" width="8" style="1" customWidth="1"/>
    <col min="10512" max="10514" width="7.5" style="1" customWidth="1"/>
    <col min="10515" max="10515" width="8" style="1" customWidth="1"/>
    <col min="10516" max="10516" width="10.5" style="1" customWidth="1"/>
    <col min="10517" max="10517" width="8" style="1" customWidth="1"/>
    <col min="10518" max="10518" width="2.33203125" style="1" customWidth="1"/>
    <col min="10519" max="10752" width="8.83203125" style="1"/>
    <col min="10753" max="10753" width="2.5" style="1" customWidth="1"/>
    <col min="10754" max="10754" width="2.33203125" style="1" customWidth="1"/>
    <col min="10755" max="10755" width="49.1640625" style="1" customWidth="1"/>
    <col min="10756" max="10756" width="11.1640625" style="1" customWidth="1"/>
    <col min="10757" max="10757" width="8.33203125" style="1" customWidth="1"/>
    <col min="10758" max="10758" width="8.1640625" style="1" customWidth="1"/>
    <col min="10759" max="10759" width="9" style="1" customWidth="1"/>
    <col min="10760" max="10760" width="9.1640625" style="1" customWidth="1"/>
    <col min="10761" max="10761" width="6.5" style="1" customWidth="1"/>
    <col min="10762" max="10762" width="8.5" style="1" customWidth="1"/>
    <col min="10763" max="10763" width="7.83203125" style="1" customWidth="1"/>
    <col min="10764" max="10764" width="7" style="1" customWidth="1"/>
    <col min="10765" max="10765" width="7.5" style="1" customWidth="1"/>
    <col min="10766" max="10766" width="7.1640625" style="1" customWidth="1"/>
    <col min="10767" max="10767" width="8" style="1" customWidth="1"/>
    <col min="10768" max="10770" width="7.5" style="1" customWidth="1"/>
    <col min="10771" max="10771" width="8" style="1" customWidth="1"/>
    <col min="10772" max="10772" width="10.5" style="1" customWidth="1"/>
    <col min="10773" max="10773" width="8" style="1" customWidth="1"/>
    <col min="10774" max="10774" width="2.33203125" style="1" customWidth="1"/>
    <col min="10775" max="11008" width="8.83203125" style="1"/>
    <col min="11009" max="11009" width="2.5" style="1" customWidth="1"/>
    <col min="11010" max="11010" width="2.33203125" style="1" customWidth="1"/>
    <col min="11011" max="11011" width="49.1640625" style="1" customWidth="1"/>
    <col min="11012" max="11012" width="11.1640625" style="1" customWidth="1"/>
    <col min="11013" max="11013" width="8.33203125" style="1" customWidth="1"/>
    <col min="11014" max="11014" width="8.1640625" style="1" customWidth="1"/>
    <col min="11015" max="11015" width="9" style="1" customWidth="1"/>
    <col min="11016" max="11016" width="9.1640625" style="1" customWidth="1"/>
    <col min="11017" max="11017" width="6.5" style="1" customWidth="1"/>
    <col min="11018" max="11018" width="8.5" style="1" customWidth="1"/>
    <col min="11019" max="11019" width="7.83203125" style="1" customWidth="1"/>
    <col min="11020" max="11020" width="7" style="1" customWidth="1"/>
    <col min="11021" max="11021" width="7.5" style="1" customWidth="1"/>
    <col min="11022" max="11022" width="7.1640625" style="1" customWidth="1"/>
    <col min="11023" max="11023" width="8" style="1" customWidth="1"/>
    <col min="11024" max="11026" width="7.5" style="1" customWidth="1"/>
    <col min="11027" max="11027" width="8" style="1" customWidth="1"/>
    <col min="11028" max="11028" width="10.5" style="1" customWidth="1"/>
    <col min="11029" max="11029" width="8" style="1" customWidth="1"/>
    <col min="11030" max="11030" width="2.33203125" style="1" customWidth="1"/>
    <col min="11031" max="11264" width="8.83203125" style="1"/>
    <col min="11265" max="11265" width="2.5" style="1" customWidth="1"/>
    <col min="11266" max="11266" width="2.33203125" style="1" customWidth="1"/>
    <col min="11267" max="11267" width="49.1640625" style="1" customWidth="1"/>
    <col min="11268" max="11268" width="11.1640625" style="1" customWidth="1"/>
    <col min="11269" max="11269" width="8.33203125" style="1" customWidth="1"/>
    <col min="11270" max="11270" width="8.1640625" style="1" customWidth="1"/>
    <col min="11271" max="11271" width="9" style="1" customWidth="1"/>
    <col min="11272" max="11272" width="9.1640625" style="1" customWidth="1"/>
    <col min="11273" max="11273" width="6.5" style="1" customWidth="1"/>
    <col min="11274" max="11274" width="8.5" style="1" customWidth="1"/>
    <col min="11275" max="11275" width="7.83203125" style="1" customWidth="1"/>
    <col min="11276" max="11276" width="7" style="1" customWidth="1"/>
    <col min="11277" max="11277" width="7.5" style="1" customWidth="1"/>
    <col min="11278" max="11278" width="7.1640625" style="1" customWidth="1"/>
    <col min="11279" max="11279" width="8" style="1" customWidth="1"/>
    <col min="11280" max="11282" width="7.5" style="1" customWidth="1"/>
    <col min="11283" max="11283" width="8" style="1" customWidth="1"/>
    <col min="11284" max="11284" width="10.5" style="1" customWidth="1"/>
    <col min="11285" max="11285" width="8" style="1" customWidth="1"/>
    <col min="11286" max="11286" width="2.33203125" style="1" customWidth="1"/>
    <col min="11287" max="11520" width="8.83203125" style="1"/>
    <col min="11521" max="11521" width="2.5" style="1" customWidth="1"/>
    <col min="11522" max="11522" width="2.33203125" style="1" customWidth="1"/>
    <col min="11523" max="11523" width="49.1640625" style="1" customWidth="1"/>
    <col min="11524" max="11524" width="11.1640625" style="1" customWidth="1"/>
    <col min="11525" max="11525" width="8.33203125" style="1" customWidth="1"/>
    <col min="11526" max="11526" width="8.1640625" style="1" customWidth="1"/>
    <col min="11527" max="11527" width="9" style="1" customWidth="1"/>
    <col min="11528" max="11528" width="9.1640625" style="1" customWidth="1"/>
    <col min="11529" max="11529" width="6.5" style="1" customWidth="1"/>
    <col min="11530" max="11530" width="8.5" style="1" customWidth="1"/>
    <col min="11531" max="11531" width="7.83203125" style="1" customWidth="1"/>
    <col min="11532" max="11532" width="7" style="1" customWidth="1"/>
    <col min="11533" max="11533" width="7.5" style="1" customWidth="1"/>
    <col min="11534" max="11534" width="7.1640625" style="1" customWidth="1"/>
    <col min="11535" max="11535" width="8" style="1" customWidth="1"/>
    <col min="11536" max="11538" width="7.5" style="1" customWidth="1"/>
    <col min="11539" max="11539" width="8" style="1" customWidth="1"/>
    <col min="11540" max="11540" width="10.5" style="1" customWidth="1"/>
    <col min="11541" max="11541" width="8" style="1" customWidth="1"/>
    <col min="11542" max="11542" width="2.33203125" style="1" customWidth="1"/>
    <col min="11543" max="11776" width="8.83203125" style="1"/>
    <col min="11777" max="11777" width="2.5" style="1" customWidth="1"/>
    <col min="11778" max="11778" width="2.33203125" style="1" customWidth="1"/>
    <col min="11779" max="11779" width="49.1640625" style="1" customWidth="1"/>
    <col min="11780" max="11780" width="11.1640625" style="1" customWidth="1"/>
    <col min="11781" max="11781" width="8.33203125" style="1" customWidth="1"/>
    <col min="11782" max="11782" width="8.1640625" style="1" customWidth="1"/>
    <col min="11783" max="11783" width="9" style="1" customWidth="1"/>
    <col min="11784" max="11784" width="9.1640625" style="1" customWidth="1"/>
    <col min="11785" max="11785" width="6.5" style="1" customWidth="1"/>
    <col min="11786" max="11786" width="8.5" style="1" customWidth="1"/>
    <col min="11787" max="11787" width="7.83203125" style="1" customWidth="1"/>
    <col min="11788" max="11788" width="7" style="1" customWidth="1"/>
    <col min="11789" max="11789" width="7.5" style="1" customWidth="1"/>
    <col min="11790" max="11790" width="7.1640625" style="1" customWidth="1"/>
    <col min="11791" max="11791" width="8" style="1" customWidth="1"/>
    <col min="11792" max="11794" width="7.5" style="1" customWidth="1"/>
    <col min="11795" max="11795" width="8" style="1" customWidth="1"/>
    <col min="11796" max="11796" width="10.5" style="1" customWidth="1"/>
    <col min="11797" max="11797" width="8" style="1" customWidth="1"/>
    <col min="11798" max="11798" width="2.33203125" style="1" customWidth="1"/>
    <col min="11799" max="12032" width="8.83203125" style="1"/>
    <col min="12033" max="12033" width="2.5" style="1" customWidth="1"/>
    <col min="12034" max="12034" width="2.33203125" style="1" customWidth="1"/>
    <col min="12035" max="12035" width="49.1640625" style="1" customWidth="1"/>
    <col min="12036" max="12036" width="11.1640625" style="1" customWidth="1"/>
    <col min="12037" max="12037" width="8.33203125" style="1" customWidth="1"/>
    <col min="12038" max="12038" width="8.1640625" style="1" customWidth="1"/>
    <col min="12039" max="12039" width="9" style="1" customWidth="1"/>
    <col min="12040" max="12040" width="9.1640625" style="1" customWidth="1"/>
    <col min="12041" max="12041" width="6.5" style="1" customWidth="1"/>
    <col min="12042" max="12042" width="8.5" style="1" customWidth="1"/>
    <col min="12043" max="12043" width="7.83203125" style="1" customWidth="1"/>
    <col min="12044" max="12044" width="7" style="1" customWidth="1"/>
    <col min="12045" max="12045" width="7.5" style="1" customWidth="1"/>
    <col min="12046" max="12046" width="7.1640625" style="1" customWidth="1"/>
    <col min="12047" max="12047" width="8" style="1" customWidth="1"/>
    <col min="12048" max="12050" width="7.5" style="1" customWidth="1"/>
    <col min="12051" max="12051" width="8" style="1" customWidth="1"/>
    <col min="12052" max="12052" width="10.5" style="1" customWidth="1"/>
    <col min="12053" max="12053" width="8" style="1" customWidth="1"/>
    <col min="12054" max="12054" width="2.33203125" style="1" customWidth="1"/>
    <col min="12055" max="12288" width="8.83203125" style="1"/>
    <col min="12289" max="12289" width="2.5" style="1" customWidth="1"/>
    <col min="12290" max="12290" width="2.33203125" style="1" customWidth="1"/>
    <col min="12291" max="12291" width="49.1640625" style="1" customWidth="1"/>
    <col min="12292" max="12292" width="11.1640625" style="1" customWidth="1"/>
    <col min="12293" max="12293" width="8.33203125" style="1" customWidth="1"/>
    <col min="12294" max="12294" width="8.1640625" style="1" customWidth="1"/>
    <col min="12295" max="12295" width="9" style="1" customWidth="1"/>
    <col min="12296" max="12296" width="9.1640625" style="1" customWidth="1"/>
    <col min="12297" max="12297" width="6.5" style="1" customWidth="1"/>
    <col min="12298" max="12298" width="8.5" style="1" customWidth="1"/>
    <col min="12299" max="12299" width="7.83203125" style="1" customWidth="1"/>
    <col min="12300" max="12300" width="7" style="1" customWidth="1"/>
    <col min="12301" max="12301" width="7.5" style="1" customWidth="1"/>
    <col min="12302" max="12302" width="7.1640625" style="1" customWidth="1"/>
    <col min="12303" max="12303" width="8" style="1" customWidth="1"/>
    <col min="12304" max="12306" width="7.5" style="1" customWidth="1"/>
    <col min="12307" max="12307" width="8" style="1" customWidth="1"/>
    <col min="12308" max="12308" width="10.5" style="1" customWidth="1"/>
    <col min="12309" max="12309" width="8" style="1" customWidth="1"/>
    <col min="12310" max="12310" width="2.33203125" style="1" customWidth="1"/>
    <col min="12311" max="12544" width="8.83203125" style="1"/>
    <col min="12545" max="12545" width="2.5" style="1" customWidth="1"/>
    <col min="12546" max="12546" width="2.33203125" style="1" customWidth="1"/>
    <col min="12547" max="12547" width="49.1640625" style="1" customWidth="1"/>
    <col min="12548" max="12548" width="11.1640625" style="1" customWidth="1"/>
    <col min="12549" max="12549" width="8.33203125" style="1" customWidth="1"/>
    <col min="12550" max="12550" width="8.1640625" style="1" customWidth="1"/>
    <col min="12551" max="12551" width="9" style="1" customWidth="1"/>
    <col min="12552" max="12552" width="9.1640625" style="1" customWidth="1"/>
    <col min="12553" max="12553" width="6.5" style="1" customWidth="1"/>
    <col min="12554" max="12554" width="8.5" style="1" customWidth="1"/>
    <col min="12555" max="12555" width="7.83203125" style="1" customWidth="1"/>
    <col min="12556" max="12556" width="7" style="1" customWidth="1"/>
    <col min="12557" max="12557" width="7.5" style="1" customWidth="1"/>
    <col min="12558" max="12558" width="7.1640625" style="1" customWidth="1"/>
    <col min="12559" max="12559" width="8" style="1" customWidth="1"/>
    <col min="12560" max="12562" width="7.5" style="1" customWidth="1"/>
    <col min="12563" max="12563" width="8" style="1" customWidth="1"/>
    <col min="12564" max="12564" width="10.5" style="1" customWidth="1"/>
    <col min="12565" max="12565" width="8" style="1" customWidth="1"/>
    <col min="12566" max="12566" width="2.33203125" style="1" customWidth="1"/>
    <col min="12567" max="12800" width="8.83203125" style="1"/>
    <col min="12801" max="12801" width="2.5" style="1" customWidth="1"/>
    <col min="12802" max="12802" width="2.33203125" style="1" customWidth="1"/>
    <col min="12803" max="12803" width="49.1640625" style="1" customWidth="1"/>
    <col min="12804" max="12804" width="11.1640625" style="1" customWidth="1"/>
    <col min="12805" max="12805" width="8.33203125" style="1" customWidth="1"/>
    <col min="12806" max="12806" width="8.1640625" style="1" customWidth="1"/>
    <col min="12807" max="12807" width="9" style="1" customWidth="1"/>
    <col min="12808" max="12808" width="9.1640625" style="1" customWidth="1"/>
    <col min="12809" max="12809" width="6.5" style="1" customWidth="1"/>
    <col min="12810" max="12810" width="8.5" style="1" customWidth="1"/>
    <col min="12811" max="12811" width="7.83203125" style="1" customWidth="1"/>
    <col min="12812" max="12812" width="7" style="1" customWidth="1"/>
    <col min="12813" max="12813" width="7.5" style="1" customWidth="1"/>
    <col min="12814" max="12814" width="7.1640625" style="1" customWidth="1"/>
    <col min="12815" max="12815" width="8" style="1" customWidth="1"/>
    <col min="12816" max="12818" width="7.5" style="1" customWidth="1"/>
    <col min="12819" max="12819" width="8" style="1" customWidth="1"/>
    <col min="12820" max="12820" width="10.5" style="1" customWidth="1"/>
    <col min="12821" max="12821" width="8" style="1" customWidth="1"/>
    <col min="12822" max="12822" width="2.33203125" style="1" customWidth="1"/>
    <col min="12823" max="13056" width="8.83203125" style="1"/>
    <col min="13057" max="13057" width="2.5" style="1" customWidth="1"/>
    <col min="13058" max="13058" width="2.33203125" style="1" customWidth="1"/>
    <col min="13059" max="13059" width="49.1640625" style="1" customWidth="1"/>
    <col min="13060" max="13060" width="11.1640625" style="1" customWidth="1"/>
    <col min="13061" max="13061" width="8.33203125" style="1" customWidth="1"/>
    <col min="13062" max="13062" width="8.1640625" style="1" customWidth="1"/>
    <col min="13063" max="13063" width="9" style="1" customWidth="1"/>
    <col min="13064" max="13064" width="9.1640625" style="1" customWidth="1"/>
    <col min="13065" max="13065" width="6.5" style="1" customWidth="1"/>
    <col min="13066" max="13066" width="8.5" style="1" customWidth="1"/>
    <col min="13067" max="13067" width="7.83203125" style="1" customWidth="1"/>
    <col min="13068" max="13068" width="7" style="1" customWidth="1"/>
    <col min="13069" max="13069" width="7.5" style="1" customWidth="1"/>
    <col min="13070" max="13070" width="7.1640625" style="1" customWidth="1"/>
    <col min="13071" max="13071" width="8" style="1" customWidth="1"/>
    <col min="13072" max="13074" width="7.5" style="1" customWidth="1"/>
    <col min="13075" max="13075" width="8" style="1" customWidth="1"/>
    <col min="13076" max="13076" width="10.5" style="1" customWidth="1"/>
    <col min="13077" max="13077" width="8" style="1" customWidth="1"/>
    <col min="13078" max="13078" width="2.33203125" style="1" customWidth="1"/>
    <col min="13079" max="13312" width="8.83203125" style="1"/>
    <col min="13313" max="13313" width="2.5" style="1" customWidth="1"/>
    <col min="13314" max="13314" width="2.33203125" style="1" customWidth="1"/>
    <col min="13315" max="13315" width="49.1640625" style="1" customWidth="1"/>
    <col min="13316" max="13316" width="11.1640625" style="1" customWidth="1"/>
    <col min="13317" max="13317" width="8.33203125" style="1" customWidth="1"/>
    <col min="13318" max="13318" width="8.1640625" style="1" customWidth="1"/>
    <col min="13319" max="13319" width="9" style="1" customWidth="1"/>
    <col min="13320" max="13320" width="9.1640625" style="1" customWidth="1"/>
    <col min="13321" max="13321" width="6.5" style="1" customWidth="1"/>
    <col min="13322" max="13322" width="8.5" style="1" customWidth="1"/>
    <col min="13323" max="13323" width="7.83203125" style="1" customWidth="1"/>
    <col min="13324" max="13324" width="7" style="1" customWidth="1"/>
    <col min="13325" max="13325" width="7.5" style="1" customWidth="1"/>
    <col min="13326" max="13326" width="7.1640625" style="1" customWidth="1"/>
    <col min="13327" max="13327" width="8" style="1" customWidth="1"/>
    <col min="13328" max="13330" width="7.5" style="1" customWidth="1"/>
    <col min="13331" max="13331" width="8" style="1" customWidth="1"/>
    <col min="13332" max="13332" width="10.5" style="1" customWidth="1"/>
    <col min="13333" max="13333" width="8" style="1" customWidth="1"/>
    <col min="13334" max="13334" width="2.33203125" style="1" customWidth="1"/>
    <col min="13335" max="13568" width="8.83203125" style="1"/>
    <col min="13569" max="13569" width="2.5" style="1" customWidth="1"/>
    <col min="13570" max="13570" width="2.33203125" style="1" customWidth="1"/>
    <col min="13571" max="13571" width="49.1640625" style="1" customWidth="1"/>
    <col min="13572" max="13572" width="11.1640625" style="1" customWidth="1"/>
    <col min="13573" max="13573" width="8.33203125" style="1" customWidth="1"/>
    <col min="13574" max="13574" width="8.1640625" style="1" customWidth="1"/>
    <col min="13575" max="13575" width="9" style="1" customWidth="1"/>
    <col min="13576" max="13576" width="9.1640625" style="1" customWidth="1"/>
    <col min="13577" max="13577" width="6.5" style="1" customWidth="1"/>
    <col min="13578" max="13578" width="8.5" style="1" customWidth="1"/>
    <col min="13579" max="13579" width="7.83203125" style="1" customWidth="1"/>
    <col min="13580" max="13580" width="7" style="1" customWidth="1"/>
    <col min="13581" max="13581" width="7.5" style="1" customWidth="1"/>
    <col min="13582" max="13582" width="7.1640625" style="1" customWidth="1"/>
    <col min="13583" max="13583" width="8" style="1" customWidth="1"/>
    <col min="13584" max="13586" width="7.5" style="1" customWidth="1"/>
    <col min="13587" max="13587" width="8" style="1" customWidth="1"/>
    <col min="13588" max="13588" width="10.5" style="1" customWidth="1"/>
    <col min="13589" max="13589" width="8" style="1" customWidth="1"/>
    <col min="13590" max="13590" width="2.33203125" style="1" customWidth="1"/>
    <col min="13591" max="13824" width="8.83203125" style="1"/>
    <col min="13825" max="13825" width="2.5" style="1" customWidth="1"/>
    <col min="13826" max="13826" width="2.33203125" style="1" customWidth="1"/>
    <col min="13827" max="13827" width="49.1640625" style="1" customWidth="1"/>
    <col min="13828" max="13828" width="11.1640625" style="1" customWidth="1"/>
    <col min="13829" max="13829" width="8.33203125" style="1" customWidth="1"/>
    <col min="13830" max="13830" width="8.1640625" style="1" customWidth="1"/>
    <col min="13831" max="13831" width="9" style="1" customWidth="1"/>
    <col min="13832" max="13832" width="9.1640625" style="1" customWidth="1"/>
    <col min="13833" max="13833" width="6.5" style="1" customWidth="1"/>
    <col min="13834" max="13834" width="8.5" style="1" customWidth="1"/>
    <col min="13835" max="13835" width="7.83203125" style="1" customWidth="1"/>
    <col min="13836" max="13836" width="7" style="1" customWidth="1"/>
    <col min="13837" max="13837" width="7.5" style="1" customWidth="1"/>
    <col min="13838" max="13838" width="7.1640625" style="1" customWidth="1"/>
    <col min="13839" max="13839" width="8" style="1" customWidth="1"/>
    <col min="13840" max="13842" width="7.5" style="1" customWidth="1"/>
    <col min="13843" max="13843" width="8" style="1" customWidth="1"/>
    <col min="13844" max="13844" width="10.5" style="1" customWidth="1"/>
    <col min="13845" max="13845" width="8" style="1" customWidth="1"/>
    <col min="13846" max="13846" width="2.33203125" style="1" customWidth="1"/>
    <col min="13847" max="14080" width="8.83203125" style="1"/>
    <col min="14081" max="14081" width="2.5" style="1" customWidth="1"/>
    <col min="14082" max="14082" width="2.33203125" style="1" customWidth="1"/>
    <col min="14083" max="14083" width="49.1640625" style="1" customWidth="1"/>
    <col min="14084" max="14084" width="11.1640625" style="1" customWidth="1"/>
    <col min="14085" max="14085" width="8.33203125" style="1" customWidth="1"/>
    <col min="14086" max="14086" width="8.1640625" style="1" customWidth="1"/>
    <col min="14087" max="14087" width="9" style="1" customWidth="1"/>
    <col min="14088" max="14088" width="9.1640625" style="1" customWidth="1"/>
    <col min="14089" max="14089" width="6.5" style="1" customWidth="1"/>
    <col min="14090" max="14090" width="8.5" style="1" customWidth="1"/>
    <col min="14091" max="14091" width="7.83203125" style="1" customWidth="1"/>
    <col min="14092" max="14092" width="7" style="1" customWidth="1"/>
    <col min="14093" max="14093" width="7.5" style="1" customWidth="1"/>
    <col min="14094" max="14094" width="7.1640625" style="1" customWidth="1"/>
    <col min="14095" max="14095" width="8" style="1" customWidth="1"/>
    <col min="14096" max="14098" width="7.5" style="1" customWidth="1"/>
    <col min="14099" max="14099" width="8" style="1" customWidth="1"/>
    <col min="14100" max="14100" width="10.5" style="1" customWidth="1"/>
    <col min="14101" max="14101" width="8" style="1" customWidth="1"/>
    <col min="14102" max="14102" width="2.33203125" style="1" customWidth="1"/>
    <col min="14103" max="14336" width="8.83203125" style="1"/>
    <col min="14337" max="14337" width="2.5" style="1" customWidth="1"/>
    <col min="14338" max="14338" width="2.33203125" style="1" customWidth="1"/>
    <col min="14339" max="14339" width="49.1640625" style="1" customWidth="1"/>
    <col min="14340" max="14340" width="11.1640625" style="1" customWidth="1"/>
    <col min="14341" max="14341" width="8.33203125" style="1" customWidth="1"/>
    <col min="14342" max="14342" width="8.1640625" style="1" customWidth="1"/>
    <col min="14343" max="14343" width="9" style="1" customWidth="1"/>
    <col min="14344" max="14344" width="9.1640625" style="1" customWidth="1"/>
    <col min="14345" max="14345" width="6.5" style="1" customWidth="1"/>
    <col min="14346" max="14346" width="8.5" style="1" customWidth="1"/>
    <col min="14347" max="14347" width="7.83203125" style="1" customWidth="1"/>
    <col min="14348" max="14348" width="7" style="1" customWidth="1"/>
    <col min="14349" max="14349" width="7.5" style="1" customWidth="1"/>
    <col min="14350" max="14350" width="7.1640625" style="1" customWidth="1"/>
    <col min="14351" max="14351" width="8" style="1" customWidth="1"/>
    <col min="14352" max="14354" width="7.5" style="1" customWidth="1"/>
    <col min="14355" max="14355" width="8" style="1" customWidth="1"/>
    <col min="14356" max="14356" width="10.5" style="1" customWidth="1"/>
    <col min="14357" max="14357" width="8" style="1" customWidth="1"/>
    <col min="14358" max="14358" width="2.33203125" style="1" customWidth="1"/>
    <col min="14359" max="14592" width="8.83203125" style="1"/>
    <col min="14593" max="14593" width="2.5" style="1" customWidth="1"/>
    <col min="14594" max="14594" width="2.33203125" style="1" customWidth="1"/>
    <col min="14595" max="14595" width="49.1640625" style="1" customWidth="1"/>
    <col min="14596" max="14596" width="11.1640625" style="1" customWidth="1"/>
    <col min="14597" max="14597" width="8.33203125" style="1" customWidth="1"/>
    <col min="14598" max="14598" width="8.1640625" style="1" customWidth="1"/>
    <col min="14599" max="14599" width="9" style="1" customWidth="1"/>
    <col min="14600" max="14600" width="9.1640625" style="1" customWidth="1"/>
    <col min="14601" max="14601" width="6.5" style="1" customWidth="1"/>
    <col min="14602" max="14602" width="8.5" style="1" customWidth="1"/>
    <col min="14603" max="14603" width="7.83203125" style="1" customWidth="1"/>
    <col min="14604" max="14604" width="7" style="1" customWidth="1"/>
    <col min="14605" max="14605" width="7.5" style="1" customWidth="1"/>
    <col min="14606" max="14606" width="7.1640625" style="1" customWidth="1"/>
    <col min="14607" max="14607" width="8" style="1" customWidth="1"/>
    <col min="14608" max="14610" width="7.5" style="1" customWidth="1"/>
    <col min="14611" max="14611" width="8" style="1" customWidth="1"/>
    <col min="14612" max="14612" width="10.5" style="1" customWidth="1"/>
    <col min="14613" max="14613" width="8" style="1" customWidth="1"/>
    <col min="14614" max="14614" width="2.33203125" style="1" customWidth="1"/>
    <col min="14615" max="14848" width="8.83203125" style="1"/>
    <col min="14849" max="14849" width="2.5" style="1" customWidth="1"/>
    <col min="14850" max="14850" width="2.33203125" style="1" customWidth="1"/>
    <col min="14851" max="14851" width="49.1640625" style="1" customWidth="1"/>
    <col min="14852" max="14852" width="11.1640625" style="1" customWidth="1"/>
    <col min="14853" max="14853" width="8.33203125" style="1" customWidth="1"/>
    <col min="14854" max="14854" width="8.1640625" style="1" customWidth="1"/>
    <col min="14855" max="14855" width="9" style="1" customWidth="1"/>
    <col min="14856" max="14856" width="9.1640625" style="1" customWidth="1"/>
    <col min="14857" max="14857" width="6.5" style="1" customWidth="1"/>
    <col min="14858" max="14858" width="8.5" style="1" customWidth="1"/>
    <col min="14859" max="14859" width="7.83203125" style="1" customWidth="1"/>
    <col min="14860" max="14860" width="7" style="1" customWidth="1"/>
    <col min="14861" max="14861" width="7.5" style="1" customWidth="1"/>
    <col min="14862" max="14862" width="7.1640625" style="1" customWidth="1"/>
    <col min="14863" max="14863" width="8" style="1" customWidth="1"/>
    <col min="14864" max="14866" width="7.5" style="1" customWidth="1"/>
    <col min="14867" max="14867" width="8" style="1" customWidth="1"/>
    <col min="14868" max="14868" width="10.5" style="1" customWidth="1"/>
    <col min="14869" max="14869" width="8" style="1" customWidth="1"/>
    <col min="14870" max="14870" width="2.33203125" style="1" customWidth="1"/>
    <col min="14871" max="15104" width="8.83203125" style="1"/>
    <col min="15105" max="15105" width="2.5" style="1" customWidth="1"/>
    <col min="15106" max="15106" width="2.33203125" style="1" customWidth="1"/>
    <col min="15107" max="15107" width="49.1640625" style="1" customWidth="1"/>
    <col min="15108" max="15108" width="11.1640625" style="1" customWidth="1"/>
    <col min="15109" max="15109" width="8.33203125" style="1" customWidth="1"/>
    <col min="15110" max="15110" width="8.1640625" style="1" customWidth="1"/>
    <col min="15111" max="15111" width="9" style="1" customWidth="1"/>
    <col min="15112" max="15112" width="9.1640625" style="1" customWidth="1"/>
    <col min="15113" max="15113" width="6.5" style="1" customWidth="1"/>
    <col min="15114" max="15114" width="8.5" style="1" customWidth="1"/>
    <col min="15115" max="15115" width="7.83203125" style="1" customWidth="1"/>
    <col min="15116" max="15116" width="7" style="1" customWidth="1"/>
    <col min="15117" max="15117" width="7.5" style="1" customWidth="1"/>
    <col min="15118" max="15118" width="7.1640625" style="1" customWidth="1"/>
    <col min="15119" max="15119" width="8" style="1" customWidth="1"/>
    <col min="15120" max="15122" width="7.5" style="1" customWidth="1"/>
    <col min="15123" max="15123" width="8" style="1" customWidth="1"/>
    <col min="15124" max="15124" width="10.5" style="1" customWidth="1"/>
    <col min="15125" max="15125" width="8" style="1" customWidth="1"/>
    <col min="15126" max="15126" width="2.33203125" style="1" customWidth="1"/>
    <col min="15127" max="15360" width="8.83203125" style="1"/>
    <col min="15361" max="15361" width="2.5" style="1" customWidth="1"/>
    <col min="15362" max="15362" width="2.33203125" style="1" customWidth="1"/>
    <col min="15363" max="15363" width="49.1640625" style="1" customWidth="1"/>
    <col min="15364" max="15364" width="11.1640625" style="1" customWidth="1"/>
    <col min="15365" max="15365" width="8.33203125" style="1" customWidth="1"/>
    <col min="15366" max="15366" width="8.1640625" style="1" customWidth="1"/>
    <col min="15367" max="15367" width="9" style="1" customWidth="1"/>
    <col min="15368" max="15368" width="9.1640625" style="1" customWidth="1"/>
    <col min="15369" max="15369" width="6.5" style="1" customWidth="1"/>
    <col min="15370" max="15370" width="8.5" style="1" customWidth="1"/>
    <col min="15371" max="15371" width="7.83203125" style="1" customWidth="1"/>
    <col min="15372" max="15372" width="7" style="1" customWidth="1"/>
    <col min="15373" max="15373" width="7.5" style="1" customWidth="1"/>
    <col min="15374" max="15374" width="7.1640625" style="1" customWidth="1"/>
    <col min="15375" max="15375" width="8" style="1" customWidth="1"/>
    <col min="15376" max="15378" width="7.5" style="1" customWidth="1"/>
    <col min="15379" max="15379" width="8" style="1" customWidth="1"/>
    <col min="15380" max="15380" width="10.5" style="1" customWidth="1"/>
    <col min="15381" max="15381" width="8" style="1" customWidth="1"/>
    <col min="15382" max="15382" width="2.33203125" style="1" customWidth="1"/>
    <col min="15383" max="15616" width="8.83203125" style="1"/>
    <col min="15617" max="15617" width="2.5" style="1" customWidth="1"/>
    <col min="15618" max="15618" width="2.33203125" style="1" customWidth="1"/>
    <col min="15619" max="15619" width="49.1640625" style="1" customWidth="1"/>
    <col min="15620" max="15620" width="11.1640625" style="1" customWidth="1"/>
    <col min="15621" max="15621" width="8.33203125" style="1" customWidth="1"/>
    <col min="15622" max="15622" width="8.1640625" style="1" customWidth="1"/>
    <col min="15623" max="15623" width="9" style="1" customWidth="1"/>
    <col min="15624" max="15624" width="9.1640625" style="1" customWidth="1"/>
    <col min="15625" max="15625" width="6.5" style="1" customWidth="1"/>
    <col min="15626" max="15626" width="8.5" style="1" customWidth="1"/>
    <col min="15627" max="15627" width="7.83203125" style="1" customWidth="1"/>
    <col min="15628" max="15628" width="7" style="1" customWidth="1"/>
    <col min="15629" max="15629" width="7.5" style="1" customWidth="1"/>
    <col min="15630" max="15630" width="7.1640625" style="1" customWidth="1"/>
    <col min="15631" max="15631" width="8" style="1" customWidth="1"/>
    <col min="15632" max="15634" width="7.5" style="1" customWidth="1"/>
    <col min="15635" max="15635" width="8" style="1" customWidth="1"/>
    <col min="15636" max="15636" width="10.5" style="1" customWidth="1"/>
    <col min="15637" max="15637" width="8" style="1" customWidth="1"/>
    <col min="15638" max="15638" width="2.33203125" style="1" customWidth="1"/>
    <col min="15639" max="15872" width="8.83203125" style="1"/>
    <col min="15873" max="15873" width="2.5" style="1" customWidth="1"/>
    <col min="15874" max="15874" width="2.33203125" style="1" customWidth="1"/>
    <col min="15875" max="15875" width="49.1640625" style="1" customWidth="1"/>
    <col min="15876" max="15876" width="11.1640625" style="1" customWidth="1"/>
    <col min="15877" max="15877" width="8.33203125" style="1" customWidth="1"/>
    <col min="15878" max="15878" width="8.1640625" style="1" customWidth="1"/>
    <col min="15879" max="15879" width="9" style="1" customWidth="1"/>
    <col min="15880" max="15880" width="9.1640625" style="1" customWidth="1"/>
    <col min="15881" max="15881" width="6.5" style="1" customWidth="1"/>
    <col min="15882" max="15882" width="8.5" style="1" customWidth="1"/>
    <col min="15883" max="15883" width="7.83203125" style="1" customWidth="1"/>
    <col min="15884" max="15884" width="7" style="1" customWidth="1"/>
    <col min="15885" max="15885" width="7.5" style="1" customWidth="1"/>
    <col min="15886" max="15886" width="7.1640625" style="1" customWidth="1"/>
    <col min="15887" max="15887" width="8" style="1" customWidth="1"/>
    <col min="15888" max="15890" width="7.5" style="1" customWidth="1"/>
    <col min="15891" max="15891" width="8" style="1" customWidth="1"/>
    <col min="15892" max="15892" width="10.5" style="1" customWidth="1"/>
    <col min="15893" max="15893" width="8" style="1" customWidth="1"/>
    <col min="15894" max="15894" width="2.33203125" style="1" customWidth="1"/>
    <col min="15895" max="16128" width="8.83203125" style="1"/>
    <col min="16129" max="16129" width="2.5" style="1" customWidth="1"/>
    <col min="16130" max="16130" width="2.33203125" style="1" customWidth="1"/>
    <col min="16131" max="16131" width="49.1640625" style="1" customWidth="1"/>
    <col min="16132" max="16132" width="11.1640625" style="1" customWidth="1"/>
    <col min="16133" max="16133" width="8.33203125" style="1" customWidth="1"/>
    <col min="16134" max="16134" width="8.1640625" style="1" customWidth="1"/>
    <col min="16135" max="16135" width="9" style="1" customWidth="1"/>
    <col min="16136" max="16136" width="9.1640625" style="1" customWidth="1"/>
    <col min="16137" max="16137" width="6.5" style="1" customWidth="1"/>
    <col min="16138" max="16138" width="8.5" style="1" customWidth="1"/>
    <col min="16139" max="16139" width="7.83203125" style="1" customWidth="1"/>
    <col min="16140" max="16140" width="7" style="1" customWidth="1"/>
    <col min="16141" max="16141" width="7.5" style="1" customWidth="1"/>
    <col min="16142" max="16142" width="7.1640625" style="1" customWidth="1"/>
    <col min="16143" max="16143" width="8" style="1" customWidth="1"/>
    <col min="16144" max="16146" width="7.5" style="1" customWidth="1"/>
    <col min="16147" max="16147" width="8" style="1" customWidth="1"/>
    <col min="16148" max="16148" width="10.5" style="1" customWidth="1"/>
    <col min="16149" max="16149" width="8" style="1" customWidth="1"/>
    <col min="16150" max="16150" width="2.33203125" style="1" customWidth="1"/>
    <col min="16151" max="16384" width="8.83203125" style="1"/>
  </cols>
  <sheetData>
    <row r="2" spans="2:24" x14ac:dyDescent="0.15">
      <c r="D2" s="9"/>
    </row>
    <row r="3" spans="2:24" ht="14" thickBot="1" x14ac:dyDescent="0.2">
      <c r="B3" s="184">
        <v>2.5</v>
      </c>
      <c r="C3" s="9">
        <v>58</v>
      </c>
      <c r="D3" s="9"/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4">
        <v>2.5</v>
      </c>
    </row>
    <row r="4" spans="2:24" ht="13" customHeight="1" x14ac:dyDescent="0.15">
      <c r="B4" s="69"/>
      <c r="C4" s="70"/>
      <c r="D4" s="70"/>
      <c r="E4" s="70"/>
      <c r="F4" s="70"/>
      <c r="G4" s="70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71"/>
    </row>
    <row r="5" spans="2:24" ht="13" customHeight="1" x14ac:dyDescent="0.15">
      <c r="B5" s="140"/>
      <c r="C5" s="73"/>
      <c r="D5" s="74"/>
      <c r="E5" s="74"/>
      <c r="F5" s="74"/>
      <c r="G5" s="73"/>
      <c r="H5" s="73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254" t="s">
        <v>456</v>
      </c>
      <c r="V5" s="75"/>
    </row>
    <row r="6" spans="2:24" ht="13" customHeight="1" x14ac:dyDescent="0.15">
      <c r="B6" s="140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5"/>
    </row>
    <row r="7" spans="2:24" ht="13" customHeight="1" x14ac:dyDescent="0.15">
      <c r="B7" s="140"/>
      <c r="C7" s="77" t="s">
        <v>438</v>
      </c>
      <c r="D7" s="86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5"/>
    </row>
    <row r="8" spans="2:24" ht="13" customHeight="1" x14ac:dyDescent="0.15">
      <c r="B8" s="140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5"/>
    </row>
    <row r="9" spans="2:24" ht="15" customHeight="1" thickBot="1" x14ac:dyDescent="0.2">
      <c r="B9" s="144"/>
      <c r="C9" s="12" t="s">
        <v>419</v>
      </c>
      <c r="D9" s="12"/>
      <c r="E9" s="12"/>
      <c r="F9" s="12"/>
      <c r="G9" s="12"/>
      <c r="U9" s="277" t="s">
        <v>391</v>
      </c>
      <c r="V9" s="22"/>
    </row>
    <row r="10" spans="2:24" ht="15" customHeight="1" thickBot="1" x14ac:dyDescent="0.2">
      <c r="B10" s="144"/>
      <c r="C10" s="482" t="s">
        <v>62</v>
      </c>
      <c r="D10" s="482" t="s">
        <v>68</v>
      </c>
      <c r="E10" s="482" t="s">
        <v>363</v>
      </c>
      <c r="F10" s="482" t="s">
        <v>374</v>
      </c>
      <c r="G10" s="482" t="s">
        <v>0</v>
      </c>
      <c r="H10" s="484" t="s">
        <v>7</v>
      </c>
      <c r="I10" s="484"/>
      <c r="J10" s="484"/>
      <c r="K10" s="484"/>
      <c r="L10" s="484"/>
      <c r="M10" s="484"/>
      <c r="N10" s="484"/>
      <c r="O10" s="482" t="s">
        <v>66</v>
      </c>
      <c r="P10" s="482" t="s">
        <v>40</v>
      </c>
      <c r="Q10" s="482" t="s">
        <v>360</v>
      </c>
      <c r="R10" s="482" t="s">
        <v>361</v>
      </c>
      <c r="S10" s="482" t="s">
        <v>362</v>
      </c>
      <c r="T10" s="482" t="s">
        <v>44</v>
      </c>
      <c r="U10" s="482" t="s">
        <v>46</v>
      </c>
      <c r="V10" s="260"/>
    </row>
    <row r="11" spans="2:24" ht="36.75" customHeight="1" thickBot="1" x14ac:dyDescent="0.2">
      <c r="B11" s="144"/>
      <c r="C11" s="486"/>
      <c r="D11" s="486"/>
      <c r="E11" s="486"/>
      <c r="F11" s="486"/>
      <c r="G11" s="486"/>
      <c r="H11" s="263" t="s">
        <v>393</v>
      </c>
      <c r="I11" s="263" t="s">
        <v>2</v>
      </c>
      <c r="J11" s="263" t="s">
        <v>3</v>
      </c>
      <c r="K11" s="263" t="s">
        <v>4</v>
      </c>
      <c r="L11" s="263" t="s">
        <v>5</v>
      </c>
      <c r="M11" s="263" t="s">
        <v>67</v>
      </c>
      <c r="N11" s="263" t="s">
        <v>6</v>
      </c>
      <c r="O11" s="486"/>
      <c r="P11" s="486"/>
      <c r="Q11" s="486"/>
      <c r="R11" s="486"/>
      <c r="S11" s="486"/>
      <c r="T11" s="486"/>
      <c r="U11" s="486"/>
      <c r="V11" s="260"/>
    </row>
    <row r="12" spans="2:24" ht="14" customHeight="1" x14ac:dyDescent="0.15">
      <c r="B12" s="144"/>
      <c r="C12" s="264" t="s">
        <v>274</v>
      </c>
      <c r="D12" s="310">
        <v>688924</v>
      </c>
      <c r="E12" s="378">
        <v>32128.173812789999</v>
      </c>
      <c r="F12" s="378">
        <v>35480.031147169997</v>
      </c>
      <c r="G12" s="378">
        <v>178504.43166965002</v>
      </c>
      <c r="H12" s="378">
        <v>873.33880436000004</v>
      </c>
      <c r="I12" s="378">
        <v>377.07242808000001</v>
      </c>
      <c r="J12" s="378">
        <v>269.16017941000001</v>
      </c>
      <c r="K12" s="378">
        <v>1275.8520804899999</v>
      </c>
      <c r="L12" s="378">
        <v>116.22362504</v>
      </c>
      <c r="M12" s="378">
        <v>401.45312562000004</v>
      </c>
      <c r="N12" s="378">
        <v>2580.4423165500002</v>
      </c>
      <c r="O12" s="378">
        <v>26496.756609650001</v>
      </c>
      <c r="P12" s="378">
        <v>3868.5513243000005</v>
      </c>
      <c r="Q12" s="378">
        <v>3266.0120339800001</v>
      </c>
      <c r="R12" s="378">
        <v>824.15278223999985</v>
      </c>
      <c r="S12" s="378">
        <v>221.64494684000002</v>
      </c>
      <c r="T12" s="378">
        <v>1254135.31459331</v>
      </c>
      <c r="U12" s="378">
        <v>72090.630840579994</v>
      </c>
      <c r="V12" s="265">
        <v>0</v>
      </c>
      <c r="X12" s="1">
        <f>G12/G33</f>
        <v>0.48013093975774218</v>
      </c>
    </row>
    <row r="13" spans="2:24" ht="14" customHeight="1" x14ac:dyDescent="0.15">
      <c r="B13" s="144"/>
      <c r="C13" s="266" t="s">
        <v>272</v>
      </c>
      <c r="D13" s="311">
        <v>129350</v>
      </c>
      <c r="E13" s="379">
        <v>21438.20309676</v>
      </c>
      <c r="F13" s="379">
        <v>3198.2769259100005</v>
      </c>
      <c r="G13" s="379">
        <v>24600.700814880001</v>
      </c>
      <c r="H13" s="379">
        <v>1421.70769234</v>
      </c>
      <c r="I13" s="379">
        <v>211.53135456000001</v>
      </c>
      <c r="J13" s="379">
        <v>210.70736588</v>
      </c>
      <c r="K13" s="379">
        <v>877.87414949000004</v>
      </c>
      <c r="L13" s="379">
        <v>1576.5090218800001</v>
      </c>
      <c r="M13" s="379">
        <v>286.22494461000002</v>
      </c>
      <c r="N13" s="379">
        <v>346.85415589999957</v>
      </c>
      <c r="O13" s="379">
        <v>16556.475919789998</v>
      </c>
      <c r="P13" s="379">
        <v>3490.0958167200001</v>
      </c>
      <c r="Q13" s="379">
        <v>3084.0051531099998</v>
      </c>
      <c r="R13" s="379">
        <v>601.63250184000003</v>
      </c>
      <c r="S13" s="379">
        <v>195.54183823</v>
      </c>
      <c r="T13" s="379">
        <v>133959.02277754998</v>
      </c>
      <c r="U13" s="379">
        <v>9804.2878184700003</v>
      </c>
      <c r="V13" s="265">
        <v>1</v>
      </c>
    </row>
    <row r="14" spans="2:24" ht="14" customHeight="1" x14ac:dyDescent="0.15">
      <c r="B14" s="144"/>
      <c r="C14" s="266" t="s">
        <v>270</v>
      </c>
      <c r="D14" s="311">
        <v>79918</v>
      </c>
      <c r="E14" s="379">
        <v>7377.5603873700002</v>
      </c>
      <c r="F14" s="379">
        <v>4446.9135172599999</v>
      </c>
      <c r="G14" s="379">
        <v>19313.664088409998</v>
      </c>
      <c r="H14" s="379">
        <v>411.19263549999999</v>
      </c>
      <c r="I14" s="379">
        <v>92.304553560000002</v>
      </c>
      <c r="J14" s="379">
        <v>76.37204706</v>
      </c>
      <c r="K14" s="379">
        <v>370.70297382000001</v>
      </c>
      <c r="L14" s="379">
        <v>24.259057500000001</v>
      </c>
      <c r="M14" s="379">
        <v>84.858249360000002</v>
      </c>
      <c r="N14" s="379">
        <v>300.79438178999999</v>
      </c>
      <c r="O14" s="379">
        <v>6075.55506556</v>
      </c>
      <c r="P14" s="379">
        <v>1160.54088067</v>
      </c>
      <c r="Q14" s="379">
        <v>1149.1227360399998</v>
      </c>
      <c r="R14" s="379">
        <v>96.925750899999997</v>
      </c>
      <c r="S14" s="379">
        <v>85.507606269999997</v>
      </c>
      <c r="T14" s="379">
        <v>125002.48891453999</v>
      </c>
      <c r="U14" s="379">
        <v>7358.8827951399999</v>
      </c>
      <c r="V14" s="265">
        <v>2</v>
      </c>
    </row>
    <row r="15" spans="2:24" ht="14" customHeight="1" x14ac:dyDescent="0.15">
      <c r="B15" s="144"/>
      <c r="C15" s="266" t="s">
        <v>275</v>
      </c>
      <c r="D15" s="311">
        <v>275862</v>
      </c>
      <c r="E15" s="379">
        <v>8508.77769997</v>
      </c>
      <c r="F15" s="379">
        <v>3705.3808974900003</v>
      </c>
      <c r="G15" s="379">
        <v>29614.95124586</v>
      </c>
      <c r="H15" s="379">
        <v>195.71705042000002</v>
      </c>
      <c r="I15" s="379">
        <v>118.52929068</v>
      </c>
      <c r="J15" s="379">
        <v>72.237126889999999</v>
      </c>
      <c r="K15" s="379">
        <v>297.08726851</v>
      </c>
      <c r="L15" s="379">
        <v>86.377810359999998</v>
      </c>
      <c r="M15" s="379">
        <v>55.745481859999991</v>
      </c>
      <c r="N15" s="379">
        <v>962.16036691999977</v>
      </c>
      <c r="O15" s="379">
        <v>6782.7514544199994</v>
      </c>
      <c r="P15" s="379">
        <v>629.40719753999997</v>
      </c>
      <c r="Q15" s="379">
        <v>529.15588565999997</v>
      </c>
      <c r="R15" s="379">
        <v>166.21993277999999</v>
      </c>
      <c r="S15" s="379">
        <v>65.969034370000003</v>
      </c>
      <c r="T15" s="379">
        <v>143427.93090556999</v>
      </c>
      <c r="U15" s="379">
        <v>9795.3383165300002</v>
      </c>
      <c r="V15" s="265">
        <v>3</v>
      </c>
    </row>
    <row r="16" spans="2:24" ht="14" customHeight="1" x14ac:dyDescent="0.15">
      <c r="B16" s="144"/>
      <c r="C16" s="266" t="s">
        <v>113</v>
      </c>
      <c r="D16" s="311">
        <v>195460</v>
      </c>
      <c r="E16" s="379">
        <v>13028.726013330001</v>
      </c>
      <c r="F16" s="379">
        <v>8190.13397042</v>
      </c>
      <c r="G16" s="379">
        <v>23611.576210350002</v>
      </c>
      <c r="H16" s="379">
        <v>504.91518051000003</v>
      </c>
      <c r="I16" s="379">
        <v>93.373519079999994</v>
      </c>
      <c r="J16" s="379">
        <v>35.202268939999996</v>
      </c>
      <c r="K16" s="379">
        <v>965.37657002999993</v>
      </c>
      <c r="L16" s="379">
        <v>38.012828420000005</v>
      </c>
      <c r="M16" s="379">
        <v>133.07709102999999</v>
      </c>
      <c r="N16" s="379">
        <v>728.2186490900001</v>
      </c>
      <c r="O16" s="379">
        <v>10680.45419271</v>
      </c>
      <c r="P16" s="379">
        <v>1865.2265947000001</v>
      </c>
      <c r="Q16" s="379">
        <v>1650.5561392899999</v>
      </c>
      <c r="R16" s="379">
        <v>345.99335647999999</v>
      </c>
      <c r="S16" s="379">
        <v>131.32290107</v>
      </c>
      <c r="T16" s="379">
        <v>227380.25315008999</v>
      </c>
      <c r="U16" s="379">
        <v>6114.1027192300007</v>
      </c>
      <c r="V16" s="265">
        <v>4</v>
      </c>
    </row>
    <row r="17" spans="2:22" ht="14" customHeight="1" x14ac:dyDescent="0.15">
      <c r="B17" s="144"/>
      <c r="C17" s="266" t="s">
        <v>258</v>
      </c>
      <c r="D17" s="311">
        <v>62448</v>
      </c>
      <c r="E17" s="379">
        <v>3589.07179077</v>
      </c>
      <c r="F17" s="379">
        <v>1898.7722574200002</v>
      </c>
      <c r="G17" s="379">
        <v>16212.59067215</v>
      </c>
      <c r="H17" s="379">
        <v>146.55176231000002</v>
      </c>
      <c r="I17" s="379">
        <v>48.322194240000002</v>
      </c>
      <c r="J17" s="379">
        <v>41.168856409999997</v>
      </c>
      <c r="K17" s="379">
        <v>223.55915375000001</v>
      </c>
      <c r="L17" s="379">
        <v>112.16552681</v>
      </c>
      <c r="M17" s="379">
        <v>49.469233499999994</v>
      </c>
      <c r="N17" s="379">
        <v>201.96867765000002</v>
      </c>
      <c r="O17" s="379">
        <v>2809.4342600999998</v>
      </c>
      <c r="P17" s="379">
        <v>454.23611803999995</v>
      </c>
      <c r="Q17" s="379">
        <v>363.80550320999998</v>
      </c>
      <c r="R17" s="379">
        <v>123.22730529999998</v>
      </c>
      <c r="S17" s="379">
        <v>32.796690470000001</v>
      </c>
      <c r="T17" s="379">
        <v>80825.251700669993</v>
      </c>
      <c r="U17" s="379">
        <v>5537.2337218900002</v>
      </c>
      <c r="V17" s="265">
        <v>5</v>
      </c>
    </row>
    <row r="18" spans="2:22" ht="14" customHeight="1" x14ac:dyDescent="0.15">
      <c r="B18" s="144"/>
      <c r="C18" s="266" t="s">
        <v>271</v>
      </c>
      <c r="D18" s="311">
        <v>126671</v>
      </c>
      <c r="E18" s="379">
        <v>7085.8270140499999</v>
      </c>
      <c r="F18" s="379">
        <v>2748.5414058799997</v>
      </c>
      <c r="G18" s="379">
        <v>20289.46137719</v>
      </c>
      <c r="H18" s="379">
        <v>289.56833768000001</v>
      </c>
      <c r="I18" s="379">
        <v>107.84582640000001</v>
      </c>
      <c r="J18" s="379">
        <v>85.914960909999991</v>
      </c>
      <c r="K18" s="379">
        <v>274.25804126999998</v>
      </c>
      <c r="L18" s="379">
        <v>14.521771409999999</v>
      </c>
      <c r="M18" s="379">
        <v>72.114077860000009</v>
      </c>
      <c r="N18" s="379">
        <v>496.42238808999991</v>
      </c>
      <c r="O18" s="379">
        <v>5778.1753212999993</v>
      </c>
      <c r="P18" s="379">
        <v>877.12282419999997</v>
      </c>
      <c r="Q18" s="379">
        <v>840.92113271999995</v>
      </c>
      <c r="R18" s="379">
        <v>113.15628264</v>
      </c>
      <c r="S18" s="379">
        <v>76.954591160000007</v>
      </c>
      <c r="T18" s="379">
        <v>106042.28718939</v>
      </c>
      <c r="U18" s="379">
        <v>6924.9353318899994</v>
      </c>
      <c r="V18" s="265">
        <v>6</v>
      </c>
    </row>
    <row r="19" spans="2:22" ht="14" customHeight="1" x14ac:dyDescent="0.15">
      <c r="B19" s="144"/>
      <c r="C19" s="266" t="s">
        <v>268</v>
      </c>
      <c r="D19" s="311">
        <v>58853</v>
      </c>
      <c r="E19" s="379">
        <v>4963.3650318800001</v>
      </c>
      <c r="F19" s="379">
        <v>2917.7292431100004</v>
      </c>
      <c r="G19" s="379">
        <v>10998.560921069999</v>
      </c>
      <c r="H19" s="379">
        <v>267.31299719000003</v>
      </c>
      <c r="I19" s="379">
        <v>74.546931360000002</v>
      </c>
      <c r="J19" s="379">
        <v>62.250686280000004</v>
      </c>
      <c r="K19" s="379">
        <v>235.81164303999998</v>
      </c>
      <c r="L19" s="379">
        <v>74.548139739999996</v>
      </c>
      <c r="M19" s="379">
        <v>61.663922239999998</v>
      </c>
      <c r="N19" s="379">
        <v>212.97513883999977</v>
      </c>
      <c r="O19" s="379">
        <v>4013.8269946299997</v>
      </c>
      <c r="P19" s="379">
        <v>727.06837081000003</v>
      </c>
      <c r="Q19" s="379">
        <v>725.43869189999998</v>
      </c>
      <c r="R19" s="379">
        <v>61.823937059999999</v>
      </c>
      <c r="S19" s="379">
        <v>60.194258149999996</v>
      </c>
      <c r="T19" s="379">
        <v>75978.756946170004</v>
      </c>
      <c r="U19" s="379">
        <v>5761.9520503599997</v>
      </c>
      <c r="V19" s="265">
        <v>7</v>
      </c>
    </row>
    <row r="20" spans="2:22" ht="14" customHeight="1" x14ac:dyDescent="0.15">
      <c r="B20" s="144"/>
      <c r="C20" s="266" t="s">
        <v>254</v>
      </c>
      <c r="D20" s="311">
        <v>37103</v>
      </c>
      <c r="E20" s="379">
        <v>2611.0250022199998</v>
      </c>
      <c r="F20" s="379">
        <v>1299.6553694499999</v>
      </c>
      <c r="G20" s="379">
        <v>8778.662817819999</v>
      </c>
      <c r="H20" s="379">
        <v>29.61266105</v>
      </c>
      <c r="I20" s="379">
        <v>30.15390768</v>
      </c>
      <c r="J20" s="379">
        <v>14.68093917</v>
      </c>
      <c r="K20" s="379">
        <v>107.79353898000001</v>
      </c>
      <c r="L20" s="379">
        <v>7.2684479299999998</v>
      </c>
      <c r="M20" s="379">
        <v>16.575331210000002</v>
      </c>
      <c r="N20" s="379">
        <v>168.41592542999993</v>
      </c>
      <c r="O20" s="379">
        <v>2264.8904547100001</v>
      </c>
      <c r="P20" s="379">
        <v>403.06606733000001</v>
      </c>
      <c r="Q20" s="379">
        <v>75.570587079999996</v>
      </c>
      <c r="R20" s="379">
        <v>332.04263732000004</v>
      </c>
      <c r="S20" s="379">
        <v>4.5471570699999999</v>
      </c>
      <c r="T20" s="379">
        <v>68774.033378959997</v>
      </c>
      <c r="U20" s="379">
        <v>7676.6578618000003</v>
      </c>
      <c r="V20" s="265">
        <v>8</v>
      </c>
    </row>
    <row r="21" spans="2:22" ht="14" customHeight="1" x14ac:dyDescent="0.15">
      <c r="B21" s="144"/>
      <c r="C21" s="266" t="s">
        <v>260</v>
      </c>
      <c r="D21" s="311">
        <v>38292</v>
      </c>
      <c r="E21" s="379">
        <v>2031.55881267</v>
      </c>
      <c r="F21" s="379">
        <v>637.83347057000003</v>
      </c>
      <c r="G21" s="379">
        <v>3628.3914108199997</v>
      </c>
      <c r="H21" s="379">
        <v>107.60711669</v>
      </c>
      <c r="I21" s="379">
        <v>40.33590744</v>
      </c>
      <c r="J21" s="379">
        <v>30.335866489999997</v>
      </c>
      <c r="K21" s="379">
        <v>82.366408519999993</v>
      </c>
      <c r="L21" s="379">
        <v>1.66172578</v>
      </c>
      <c r="M21" s="379">
        <v>22.794608789999995</v>
      </c>
      <c r="N21" s="379">
        <v>136.90114499999999</v>
      </c>
      <c r="O21" s="379">
        <v>1628.86933043</v>
      </c>
      <c r="P21" s="379">
        <v>250.34989144999997</v>
      </c>
      <c r="Q21" s="379">
        <v>273.40241743000001</v>
      </c>
      <c r="R21" s="379">
        <v>12.751601579999999</v>
      </c>
      <c r="S21" s="379">
        <v>35.804127560000005</v>
      </c>
      <c r="T21" s="379">
        <v>16173.35090062</v>
      </c>
      <c r="U21" s="379">
        <v>1225.1703623500002</v>
      </c>
      <c r="V21" s="265">
        <v>9</v>
      </c>
    </row>
    <row r="22" spans="2:22" ht="14" customHeight="1" x14ac:dyDescent="0.15">
      <c r="B22" s="144"/>
      <c r="C22" s="266" t="s">
        <v>261</v>
      </c>
      <c r="D22" s="311">
        <v>15551</v>
      </c>
      <c r="E22" s="379">
        <v>2272.2473210600001</v>
      </c>
      <c r="F22" s="379">
        <v>495.30106349999994</v>
      </c>
      <c r="G22" s="379">
        <v>1851.7976151800001</v>
      </c>
      <c r="H22" s="379">
        <v>174.80323702000001</v>
      </c>
      <c r="I22" s="379">
        <v>23.29643196</v>
      </c>
      <c r="J22" s="379">
        <v>20.021755280000001</v>
      </c>
      <c r="K22" s="379">
        <v>130.37893821</v>
      </c>
      <c r="L22" s="379">
        <v>22.864740620000003</v>
      </c>
      <c r="M22" s="379">
        <v>25.201512700000002</v>
      </c>
      <c r="N22" s="379">
        <v>50.843031319999966</v>
      </c>
      <c r="O22" s="379">
        <v>1828.9560866300003</v>
      </c>
      <c r="P22" s="379">
        <v>365.94642912000006</v>
      </c>
      <c r="Q22" s="379">
        <v>360.71672011000004</v>
      </c>
      <c r="R22" s="379">
        <v>43.109065880000003</v>
      </c>
      <c r="S22" s="379">
        <v>37.879356869999995</v>
      </c>
      <c r="T22" s="379">
        <v>14868.655031079998</v>
      </c>
      <c r="U22" s="379">
        <v>706.06897966999986</v>
      </c>
      <c r="V22" s="265">
        <v>10</v>
      </c>
    </row>
    <row r="23" spans="2:22" ht="14" customHeight="1" x14ac:dyDescent="0.15">
      <c r="B23" s="144"/>
      <c r="C23" s="266" t="s">
        <v>231</v>
      </c>
      <c r="D23" s="311">
        <v>10642</v>
      </c>
      <c r="E23" s="379">
        <v>489.42193371999997</v>
      </c>
      <c r="F23" s="379">
        <v>429.31766791000001</v>
      </c>
      <c r="G23" s="379">
        <v>1832.0815371900001</v>
      </c>
      <c r="H23" s="379">
        <v>16.760362929999999</v>
      </c>
      <c r="I23" s="379">
        <v>5.9866196399999998</v>
      </c>
      <c r="J23" s="379">
        <v>5.4642717000000003</v>
      </c>
      <c r="K23" s="379">
        <v>23.912857420000002</v>
      </c>
      <c r="L23" s="379">
        <v>1.20292471</v>
      </c>
      <c r="M23" s="379">
        <v>4.4088093600000002</v>
      </c>
      <c r="N23" s="379">
        <v>37.019273659999996</v>
      </c>
      <c r="O23" s="379">
        <v>400.47337367</v>
      </c>
      <c r="P23" s="379">
        <v>61.526784129999996</v>
      </c>
      <c r="Q23" s="379">
        <v>65.708198379999999</v>
      </c>
      <c r="R23" s="379">
        <v>3.7086642699999999</v>
      </c>
      <c r="S23" s="379">
        <v>7.8900785200000012</v>
      </c>
      <c r="T23" s="379">
        <v>9206.9704688099991</v>
      </c>
      <c r="U23" s="379">
        <v>816.4545498</v>
      </c>
      <c r="V23" s="265">
        <v>11</v>
      </c>
    </row>
    <row r="24" spans="2:22" ht="14" customHeight="1" x14ac:dyDescent="0.15">
      <c r="B24" s="144"/>
      <c r="C24" s="266" t="s">
        <v>252</v>
      </c>
      <c r="D24" s="311">
        <v>20950</v>
      </c>
      <c r="E24" s="379">
        <v>1793.7639376200002</v>
      </c>
      <c r="F24" s="379">
        <v>206.10069193999999</v>
      </c>
      <c r="G24" s="379">
        <v>1712.31672837</v>
      </c>
      <c r="H24" s="379">
        <v>76.170133399999997</v>
      </c>
      <c r="I24" s="379">
        <v>22.797031079999996</v>
      </c>
      <c r="J24" s="379">
        <v>23.402372850000003</v>
      </c>
      <c r="K24" s="379">
        <v>80.13462251</v>
      </c>
      <c r="L24" s="379">
        <v>554.11627214999999</v>
      </c>
      <c r="M24" s="379">
        <v>11.99280971</v>
      </c>
      <c r="N24" s="379">
        <v>57.79395334000003</v>
      </c>
      <c r="O24" s="379">
        <v>970.42864532999988</v>
      </c>
      <c r="P24" s="379">
        <v>116.21575787</v>
      </c>
      <c r="Q24" s="379">
        <v>92.29384915</v>
      </c>
      <c r="R24" s="379">
        <v>34.546718470000002</v>
      </c>
      <c r="S24" s="379">
        <v>10.624809750000001</v>
      </c>
      <c r="T24" s="379">
        <v>12212.9170878</v>
      </c>
      <c r="U24" s="379">
        <v>1062.29949622</v>
      </c>
      <c r="V24" s="265">
        <v>12</v>
      </c>
    </row>
    <row r="25" spans="2:22" ht="14" customHeight="1" x14ac:dyDescent="0.15">
      <c r="B25" s="144"/>
      <c r="C25" s="266" t="s">
        <v>273</v>
      </c>
      <c r="D25" s="311">
        <v>44776</v>
      </c>
      <c r="E25" s="379">
        <v>3289.52312764</v>
      </c>
      <c r="F25" s="379">
        <v>1008.46009836</v>
      </c>
      <c r="G25" s="379">
        <v>2167.6920067199999</v>
      </c>
      <c r="H25" s="379">
        <v>232.75674511</v>
      </c>
      <c r="I25" s="379">
        <v>63.595193880000004</v>
      </c>
      <c r="J25" s="379">
        <v>53.420870890000003</v>
      </c>
      <c r="K25" s="379">
        <v>141.31161703999999</v>
      </c>
      <c r="L25" s="379">
        <v>5.3672869199999997</v>
      </c>
      <c r="M25" s="379">
        <v>20.15018577</v>
      </c>
      <c r="N25" s="379">
        <v>163.77166855000007</v>
      </c>
      <c r="O25" s="379">
        <v>2612.4473619</v>
      </c>
      <c r="P25" s="379">
        <v>389.98359592999998</v>
      </c>
      <c r="Q25" s="379">
        <v>397.98753132000002</v>
      </c>
      <c r="R25" s="379">
        <v>33.734195790000001</v>
      </c>
      <c r="S25" s="379">
        <v>41.738131179999996</v>
      </c>
      <c r="T25" s="379">
        <v>17663.77616352</v>
      </c>
      <c r="U25" s="379">
        <v>1948.2594451499999</v>
      </c>
      <c r="V25" s="265">
        <v>13</v>
      </c>
    </row>
    <row r="26" spans="2:22" ht="14" customHeight="1" x14ac:dyDescent="0.15">
      <c r="B26" s="144"/>
      <c r="C26" s="266" t="s">
        <v>221</v>
      </c>
      <c r="D26" s="311">
        <v>7243</v>
      </c>
      <c r="E26" s="379">
        <v>413.11135389000003</v>
      </c>
      <c r="F26" s="379">
        <v>236.54483665000004</v>
      </c>
      <c r="G26" s="379">
        <v>2130.6585891700001</v>
      </c>
      <c r="H26" s="379">
        <v>14.44331096</v>
      </c>
      <c r="I26" s="379">
        <v>4.4326987199999994</v>
      </c>
      <c r="J26" s="379">
        <v>3.8221202000000001</v>
      </c>
      <c r="K26" s="379">
        <v>21.557175949999998</v>
      </c>
      <c r="L26" s="379">
        <v>0.37980547999999997</v>
      </c>
      <c r="M26" s="379">
        <v>16.20556668</v>
      </c>
      <c r="N26" s="379">
        <v>24.503795960000005</v>
      </c>
      <c r="O26" s="379">
        <v>341.22374361000004</v>
      </c>
      <c r="P26" s="379">
        <v>58.355723470000001</v>
      </c>
      <c r="Q26" s="379">
        <v>59.930204720000006</v>
      </c>
      <c r="R26" s="379">
        <v>4.1969938500000001</v>
      </c>
      <c r="S26" s="379">
        <v>5.7714751</v>
      </c>
      <c r="T26" s="379">
        <v>17325.446807109998</v>
      </c>
      <c r="U26" s="379">
        <v>305.35725867000002</v>
      </c>
      <c r="V26" s="265">
        <v>14</v>
      </c>
    </row>
    <row r="27" spans="2:22" ht="14" customHeight="1" x14ac:dyDescent="0.15">
      <c r="B27" s="144"/>
      <c r="C27" s="266" t="s">
        <v>266</v>
      </c>
      <c r="D27" s="311">
        <v>41769</v>
      </c>
      <c r="E27" s="379">
        <v>1200.2697404200001</v>
      </c>
      <c r="F27" s="379">
        <v>153.02580710000001</v>
      </c>
      <c r="G27" s="379">
        <v>2834.7556825700003</v>
      </c>
      <c r="H27" s="379">
        <v>28.16626239</v>
      </c>
      <c r="I27" s="379">
        <v>22.287312</v>
      </c>
      <c r="J27" s="379">
        <v>13.30277194</v>
      </c>
      <c r="K27" s="379">
        <v>31.960707929999998</v>
      </c>
      <c r="L27" s="379">
        <v>11.58812039</v>
      </c>
      <c r="M27" s="379">
        <v>7.4185016900000003</v>
      </c>
      <c r="N27" s="379">
        <v>155.20049539000001</v>
      </c>
      <c r="O27" s="379">
        <v>940.22858302999998</v>
      </c>
      <c r="P27" s="379">
        <v>62.54283882</v>
      </c>
      <c r="Q27" s="379">
        <v>54.400079349999999</v>
      </c>
      <c r="R27" s="379">
        <v>17.434100399999998</v>
      </c>
      <c r="S27" s="379">
        <v>9.2913409300000005</v>
      </c>
      <c r="T27" s="379">
        <v>11381.537763029999</v>
      </c>
      <c r="U27" s="379">
        <v>1003.6456114299999</v>
      </c>
      <c r="V27" s="265">
        <v>15</v>
      </c>
    </row>
    <row r="28" spans="2:22" ht="14" customHeight="1" x14ac:dyDescent="0.15">
      <c r="B28" s="144"/>
      <c r="C28" s="266" t="s">
        <v>215</v>
      </c>
      <c r="D28" s="311">
        <v>8313</v>
      </c>
      <c r="E28" s="379">
        <v>375.04420089000001</v>
      </c>
      <c r="F28" s="379">
        <v>89.598779430000008</v>
      </c>
      <c r="G28" s="379">
        <v>1158.8328392399999</v>
      </c>
      <c r="H28" s="379">
        <v>7.0658655899999996</v>
      </c>
      <c r="I28" s="379">
        <v>5.52849156</v>
      </c>
      <c r="J28" s="379">
        <v>3.80983414</v>
      </c>
      <c r="K28" s="379">
        <v>14.461762859999999</v>
      </c>
      <c r="L28" s="379">
        <v>85.25038862000001</v>
      </c>
      <c r="M28" s="379">
        <v>2.6768822700000001</v>
      </c>
      <c r="N28" s="379">
        <v>28.014821810000001</v>
      </c>
      <c r="O28" s="379">
        <v>230.72936522999998</v>
      </c>
      <c r="P28" s="379">
        <v>24.51376106</v>
      </c>
      <c r="Q28" s="379">
        <v>19.00509679</v>
      </c>
      <c r="R28" s="379">
        <v>7.9668334299999994</v>
      </c>
      <c r="S28" s="379">
        <v>2.4581691600000002</v>
      </c>
      <c r="T28" s="379">
        <v>5525.8595036999996</v>
      </c>
      <c r="U28" s="379">
        <v>432.52746699999994</v>
      </c>
      <c r="V28" s="265">
        <v>16</v>
      </c>
    </row>
    <row r="29" spans="2:22" ht="14" customHeight="1" x14ac:dyDescent="0.15">
      <c r="B29" s="144"/>
      <c r="C29" s="266" t="s">
        <v>234</v>
      </c>
      <c r="D29" s="311">
        <v>8007</v>
      </c>
      <c r="E29" s="379">
        <v>424.89547622999999</v>
      </c>
      <c r="F29" s="379">
        <v>199.40093776000001</v>
      </c>
      <c r="G29" s="379">
        <v>1017.52457286</v>
      </c>
      <c r="H29" s="379">
        <v>16.506721349999999</v>
      </c>
      <c r="I29" s="379">
        <v>4.3357076399999999</v>
      </c>
      <c r="J29" s="379">
        <v>4.5571413700000001</v>
      </c>
      <c r="K29" s="379">
        <v>31.71488373</v>
      </c>
      <c r="L29" s="379">
        <v>18.574690920000002</v>
      </c>
      <c r="M29" s="379">
        <v>0.94505105999999994</v>
      </c>
      <c r="N29" s="379">
        <v>28.395396020000007</v>
      </c>
      <c r="O29" s="379">
        <v>321.97370744</v>
      </c>
      <c r="P29" s="379">
        <v>40.380940860000003</v>
      </c>
      <c r="Q29" s="379">
        <v>35.990129830000001</v>
      </c>
      <c r="R29" s="379">
        <v>8.5646733800000003</v>
      </c>
      <c r="S29" s="379">
        <v>4.1738623500000003</v>
      </c>
      <c r="T29" s="379">
        <v>6260.5788678899999</v>
      </c>
      <c r="U29" s="379">
        <v>346.82619500999999</v>
      </c>
      <c r="V29" s="265">
        <v>17</v>
      </c>
    </row>
    <row r="30" spans="2:22" ht="14" customHeight="1" x14ac:dyDescent="0.15">
      <c r="B30" s="144"/>
      <c r="C30" s="266" t="s">
        <v>242</v>
      </c>
      <c r="D30" s="311">
        <v>2470</v>
      </c>
      <c r="E30" s="379">
        <v>795.24556727000004</v>
      </c>
      <c r="F30" s="379">
        <v>195.92601847</v>
      </c>
      <c r="G30" s="379">
        <v>745.41735087999996</v>
      </c>
      <c r="H30" s="379">
        <v>89.053505289999976</v>
      </c>
      <c r="I30" s="379">
        <v>5.2705365599999991</v>
      </c>
      <c r="J30" s="379">
        <v>4.7985145500000002</v>
      </c>
      <c r="K30" s="379">
        <v>42.14217206</v>
      </c>
      <c r="L30" s="379">
        <v>2.5908206499999999</v>
      </c>
      <c r="M30" s="379">
        <v>15.054392900000002</v>
      </c>
      <c r="N30" s="379">
        <v>0.56861652999998569</v>
      </c>
      <c r="O30" s="379">
        <v>638.45868041000006</v>
      </c>
      <c r="P30" s="379">
        <v>156.83305283000001</v>
      </c>
      <c r="Q30" s="379">
        <v>160.10351433999998</v>
      </c>
      <c r="R30" s="379">
        <v>6.2420558899999996</v>
      </c>
      <c r="S30" s="379">
        <v>9.5125174000000001</v>
      </c>
      <c r="T30" s="379">
        <v>5364.8388874599996</v>
      </c>
      <c r="U30" s="379">
        <v>270.73044055999998</v>
      </c>
      <c r="V30" s="265">
        <v>18</v>
      </c>
    </row>
    <row r="31" spans="2:22" ht="14" customHeight="1" x14ac:dyDescent="0.15">
      <c r="B31" s="144"/>
      <c r="C31" s="266" t="s">
        <v>224</v>
      </c>
      <c r="D31" s="311">
        <v>4580</v>
      </c>
      <c r="E31" s="379">
        <v>396.81845856999996</v>
      </c>
      <c r="F31" s="379">
        <v>108.57860793999998</v>
      </c>
      <c r="G31" s="379">
        <v>707.81356904999996</v>
      </c>
      <c r="H31" s="379">
        <v>23.106979320000001</v>
      </c>
      <c r="I31" s="379">
        <v>7.3568765999999997</v>
      </c>
      <c r="J31" s="379">
        <v>5.5049620800000003</v>
      </c>
      <c r="K31" s="379">
        <v>18.884351460000001</v>
      </c>
      <c r="L31" s="379">
        <v>0.89440219999999993</v>
      </c>
      <c r="M31" s="379">
        <v>4.7077754399999998</v>
      </c>
      <c r="N31" s="379">
        <v>16.100488480000003</v>
      </c>
      <c r="O31" s="379">
        <v>322.84556348000001</v>
      </c>
      <c r="P31" s="379">
        <v>57.427984439999996</v>
      </c>
      <c r="Q31" s="379">
        <v>53.138886930000005</v>
      </c>
      <c r="R31" s="379">
        <v>8.9379084800000008</v>
      </c>
      <c r="S31" s="379">
        <v>4.6488109699999995</v>
      </c>
      <c r="T31" s="379">
        <v>5171.9708712700003</v>
      </c>
      <c r="U31" s="379">
        <v>345.19426119000002</v>
      </c>
      <c r="V31" s="265">
        <v>19</v>
      </c>
    </row>
    <row r="32" spans="2:22" ht="14" customHeight="1" thickBot="1" x14ac:dyDescent="0.2">
      <c r="B32" s="347"/>
      <c r="C32" s="273" t="s">
        <v>420</v>
      </c>
      <c r="D32" s="312">
        <v>243641</v>
      </c>
      <c r="E32" s="380">
        <v>19106.673825320002</v>
      </c>
      <c r="F32" s="380">
        <v>3562.4947201300006</v>
      </c>
      <c r="G32" s="380">
        <v>20070.931859959994</v>
      </c>
      <c r="H32" s="380">
        <v>1095.1865896099996</v>
      </c>
      <c r="I32" s="380">
        <v>275.90660435999979</v>
      </c>
      <c r="J32" s="380">
        <v>193.44869102000001</v>
      </c>
      <c r="K32" s="380">
        <v>753.71977186000015</v>
      </c>
      <c r="L32" s="380">
        <v>1534.7578804</v>
      </c>
      <c r="M32" s="380">
        <v>176.24031507999996</v>
      </c>
      <c r="N32" s="380">
        <v>865.22478026999988</v>
      </c>
      <c r="O32" s="380">
        <v>14274.622222160011</v>
      </c>
      <c r="P32" s="380">
        <v>2394.3531150099998</v>
      </c>
      <c r="Q32" s="380">
        <v>2375.6709253099984</v>
      </c>
      <c r="R32" s="380">
        <v>214.40855284000006</v>
      </c>
      <c r="S32" s="380">
        <v>195.72636313999993</v>
      </c>
      <c r="T32" s="380">
        <v>125174.09969916</v>
      </c>
      <c r="U32" s="380">
        <v>10378.40761335</v>
      </c>
      <c r="V32" s="265"/>
    </row>
    <row r="33" spans="2:22" ht="14" customHeight="1" thickBot="1" x14ac:dyDescent="0.2">
      <c r="B33" s="144"/>
      <c r="C33" s="377" t="s">
        <v>403</v>
      </c>
      <c r="D33" s="377">
        <v>2100823</v>
      </c>
      <c r="E33" s="381">
        <v>133319.30360444001</v>
      </c>
      <c r="F33" s="381">
        <v>71208.017433870002</v>
      </c>
      <c r="G33" s="381">
        <v>371782.81357939006</v>
      </c>
      <c r="H33" s="381">
        <v>6021.5439510200003</v>
      </c>
      <c r="I33" s="381">
        <v>1634.8094170799998</v>
      </c>
      <c r="J33" s="381">
        <v>1229.5836034599999</v>
      </c>
      <c r="K33" s="381">
        <v>6000.8606889300008</v>
      </c>
      <c r="L33" s="381">
        <v>4289.1352879299993</v>
      </c>
      <c r="M33" s="381">
        <v>1468.9778687400003</v>
      </c>
      <c r="N33" s="381">
        <v>7562.5894665900014</v>
      </c>
      <c r="O33" s="381">
        <v>105969.57693619002</v>
      </c>
      <c r="P33" s="381">
        <v>17453.745069299999</v>
      </c>
      <c r="Q33" s="381">
        <v>15632.935416649996</v>
      </c>
      <c r="R33" s="381">
        <v>3060.7758508199991</v>
      </c>
      <c r="S33" s="381">
        <v>1239.9980665599999</v>
      </c>
      <c r="T33" s="381">
        <v>2461855.3416077001</v>
      </c>
      <c r="U33" s="381">
        <v>149904.96313628997</v>
      </c>
      <c r="V33" s="265">
        <v>21</v>
      </c>
    </row>
    <row r="34" spans="2:22" ht="14" customHeight="1" x14ac:dyDescent="0.15">
      <c r="B34" s="144"/>
      <c r="C34" s="264" t="s">
        <v>274</v>
      </c>
      <c r="D34" s="267"/>
      <c r="E34" s="268">
        <f>(G12*1000000)/D12</f>
        <v>259106.13024027328</v>
      </c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68"/>
      <c r="Q34" s="268"/>
      <c r="R34" s="268"/>
      <c r="S34" s="268"/>
      <c r="T34" s="268"/>
      <c r="U34" s="268"/>
      <c r="V34" s="265">
        <v>22</v>
      </c>
    </row>
    <row r="35" spans="2:22" ht="14" customHeight="1" x14ac:dyDescent="0.15">
      <c r="B35" s="144"/>
      <c r="C35" s="266" t="s">
        <v>272</v>
      </c>
      <c r="D35" s="267"/>
      <c r="E35" s="268">
        <f t="shared" ref="E35:E54" si="0">(G13*1000000)/D13</f>
        <v>190187.09559242366</v>
      </c>
      <c r="F35" s="268"/>
      <c r="G35" s="268"/>
      <c r="H35" s="268"/>
      <c r="I35" s="268"/>
      <c r="J35" s="268"/>
      <c r="K35" s="268"/>
      <c r="L35" s="268"/>
      <c r="M35" s="268"/>
      <c r="N35" s="268"/>
      <c r="O35" s="268"/>
      <c r="P35" s="268"/>
      <c r="Q35" s="268"/>
      <c r="R35" s="268"/>
      <c r="S35" s="268"/>
      <c r="T35" s="268"/>
      <c r="U35" s="268"/>
      <c r="V35" s="265">
        <v>23</v>
      </c>
    </row>
    <row r="36" spans="2:22" ht="14" customHeight="1" x14ac:dyDescent="0.15">
      <c r="B36" s="144"/>
      <c r="C36" s="266" t="s">
        <v>270</v>
      </c>
      <c r="D36" s="267"/>
      <c r="E36" s="268">
        <f t="shared" si="0"/>
        <v>241668.51132923743</v>
      </c>
      <c r="F36" s="268"/>
      <c r="G36" s="268"/>
      <c r="H36" s="268"/>
      <c r="I36" s="268"/>
      <c r="J36" s="268"/>
      <c r="K36" s="268"/>
      <c r="L36" s="268"/>
      <c r="M36" s="268"/>
      <c r="N36" s="268"/>
      <c r="O36" s="268"/>
      <c r="P36" s="268"/>
      <c r="Q36" s="268"/>
      <c r="R36" s="268"/>
      <c r="S36" s="268"/>
      <c r="T36" s="268"/>
      <c r="U36" s="268"/>
      <c r="V36" s="265">
        <v>24</v>
      </c>
    </row>
    <row r="37" spans="2:22" ht="14" customHeight="1" x14ac:dyDescent="0.15">
      <c r="B37" s="144"/>
      <c r="C37" s="266" t="s">
        <v>275</v>
      </c>
      <c r="D37" s="267"/>
      <c r="E37" s="268">
        <f t="shared" si="0"/>
        <v>107354.22510479878</v>
      </c>
      <c r="F37" s="268"/>
      <c r="G37" s="268"/>
      <c r="H37" s="268"/>
      <c r="I37" s="268"/>
      <c r="J37" s="268"/>
      <c r="K37" s="268"/>
      <c r="L37" s="268"/>
      <c r="M37" s="268"/>
      <c r="N37" s="268"/>
      <c r="O37" s="268"/>
      <c r="P37" s="268"/>
      <c r="Q37" s="268"/>
      <c r="R37" s="268"/>
      <c r="S37" s="268"/>
      <c r="T37" s="268"/>
      <c r="U37" s="268"/>
      <c r="V37" s="265">
        <v>25</v>
      </c>
    </row>
    <row r="38" spans="2:22" ht="14" customHeight="1" x14ac:dyDescent="0.15">
      <c r="B38" s="144"/>
      <c r="C38" s="266" t="s">
        <v>113</v>
      </c>
      <c r="D38" s="267"/>
      <c r="E38" s="268">
        <f t="shared" si="0"/>
        <v>120800.04200526963</v>
      </c>
      <c r="F38" s="268"/>
      <c r="G38" s="268"/>
      <c r="H38" s="268"/>
      <c r="I38" s="268"/>
      <c r="J38" s="268"/>
      <c r="K38" s="268"/>
      <c r="L38" s="268"/>
      <c r="M38" s="268"/>
      <c r="N38" s="268"/>
      <c r="O38" s="268"/>
      <c r="P38" s="268"/>
      <c r="Q38" s="268"/>
      <c r="R38" s="268"/>
      <c r="S38" s="268"/>
      <c r="T38" s="268"/>
      <c r="U38" s="268"/>
      <c r="V38" s="265">
        <v>26</v>
      </c>
    </row>
    <row r="39" spans="2:22" ht="14" customHeight="1" x14ac:dyDescent="0.15">
      <c r="B39" s="144"/>
      <c r="C39" s="266" t="s">
        <v>258</v>
      </c>
      <c r="D39" s="267"/>
      <c r="E39" s="268">
        <f t="shared" si="0"/>
        <v>259617.45247485908</v>
      </c>
      <c r="F39" s="268"/>
      <c r="G39" s="268"/>
      <c r="H39" s="268"/>
      <c r="I39" s="268"/>
      <c r="J39" s="268"/>
      <c r="K39" s="268"/>
      <c r="L39" s="268"/>
      <c r="M39" s="268"/>
      <c r="N39" s="268"/>
      <c r="O39" s="268"/>
      <c r="P39" s="268"/>
      <c r="Q39" s="268"/>
      <c r="R39" s="268"/>
      <c r="S39" s="268"/>
      <c r="T39" s="268"/>
      <c r="U39" s="268"/>
      <c r="V39" s="265">
        <v>27</v>
      </c>
    </row>
    <row r="40" spans="2:22" ht="14" customHeight="1" x14ac:dyDescent="0.15">
      <c r="B40" s="144"/>
      <c r="C40" s="266" t="s">
        <v>271</v>
      </c>
      <c r="D40" s="267"/>
      <c r="E40" s="268">
        <f t="shared" si="0"/>
        <v>160174.47858775881</v>
      </c>
      <c r="F40" s="268"/>
      <c r="G40" s="268"/>
      <c r="H40" s="268"/>
      <c r="I40" s="268"/>
      <c r="J40" s="268"/>
      <c r="K40" s="268"/>
      <c r="L40" s="268"/>
      <c r="M40" s="268"/>
      <c r="N40" s="268"/>
      <c r="O40" s="268"/>
      <c r="P40" s="268"/>
      <c r="Q40" s="268"/>
      <c r="R40" s="268"/>
      <c r="S40" s="268"/>
      <c r="T40" s="268"/>
      <c r="U40" s="268"/>
      <c r="V40" s="265">
        <v>28</v>
      </c>
    </row>
    <row r="41" spans="2:22" ht="14" customHeight="1" x14ac:dyDescent="0.15">
      <c r="B41" s="144"/>
      <c r="C41" s="266" t="s">
        <v>268</v>
      </c>
      <c r="D41" s="267"/>
      <c r="E41" s="268">
        <f t="shared" si="0"/>
        <v>186881.90782237097</v>
      </c>
      <c r="F41" s="268"/>
      <c r="G41" s="268"/>
      <c r="H41" s="268"/>
      <c r="I41" s="268"/>
      <c r="J41" s="268"/>
      <c r="K41" s="268"/>
      <c r="L41" s="268"/>
      <c r="M41" s="268"/>
      <c r="N41" s="268"/>
      <c r="O41" s="268"/>
      <c r="P41" s="268"/>
      <c r="Q41" s="268"/>
      <c r="R41" s="268"/>
      <c r="S41" s="268"/>
      <c r="T41" s="268"/>
      <c r="U41" s="268"/>
      <c r="V41" s="265">
        <v>29</v>
      </c>
    </row>
    <row r="42" spans="2:22" ht="14" customHeight="1" x14ac:dyDescent="0.15">
      <c r="B42" s="144"/>
      <c r="C42" s="266" t="s">
        <v>254</v>
      </c>
      <c r="D42" s="267"/>
      <c r="E42" s="268">
        <f t="shared" si="0"/>
        <v>236602.50701614423</v>
      </c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68"/>
      <c r="Q42" s="268"/>
      <c r="R42" s="268"/>
      <c r="S42" s="268"/>
      <c r="T42" s="268"/>
      <c r="U42" s="268"/>
      <c r="V42" s="265">
        <v>30</v>
      </c>
    </row>
    <row r="43" spans="2:22" ht="14" customHeight="1" x14ac:dyDescent="0.15">
      <c r="B43" s="144"/>
      <c r="C43" s="266" t="s">
        <v>260</v>
      </c>
      <c r="D43" s="267"/>
      <c r="E43" s="268">
        <f t="shared" si="0"/>
        <v>94755.860514467771</v>
      </c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68"/>
      <c r="Q43" s="268"/>
      <c r="R43" s="268"/>
      <c r="S43" s="268"/>
      <c r="T43" s="268"/>
      <c r="U43" s="268"/>
      <c r="V43" s="265">
        <v>31</v>
      </c>
    </row>
    <row r="44" spans="2:22" ht="14" customHeight="1" x14ac:dyDescent="0.15">
      <c r="B44" s="144"/>
      <c r="C44" s="266" t="s">
        <v>261</v>
      </c>
      <c r="D44" s="267"/>
      <c r="E44" s="268">
        <f t="shared" si="0"/>
        <v>119079.0055417658</v>
      </c>
      <c r="F44" s="268"/>
      <c r="G44" s="268"/>
      <c r="H44" s="268"/>
      <c r="I44" s="268"/>
      <c r="J44" s="268"/>
      <c r="K44" s="268"/>
      <c r="L44" s="268"/>
      <c r="M44" s="268"/>
      <c r="N44" s="268"/>
      <c r="O44" s="268"/>
      <c r="P44" s="268"/>
      <c r="Q44" s="268"/>
      <c r="R44" s="268"/>
      <c r="S44" s="268"/>
      <c r="T44" s="268"/>
      <c r="U44" s="268"/>
      <c r="V44" s="265">
        <v>32</v>
      </c>
    </row>
    <row r="45" spans="2:22" ht="14" customHeight="1" x14ac:dyDescent="0.15">
      <c r="B45" s="144"/>
      <c r="C45" s="266" t="s">
        <v>231</v>
      </c>
      <c r="D45" s="267"/>
      <c r="E45" s="268">
        <f t="shared" si="0"/>
        <v>172155.75429336593</v>
      </c>
      <c r="F45" s="268"/>
      <c r="G45" s="268"/>
      <c r="H45" s="268"/>
      <c r="I45" s="268"/>
      <c r="J45" s="268"/>
      <c r="K45" s="268"/>
      <c r="L45" s="268"/>
      <c r="M45" s="268"/>
      <c r="N45" s="268"/>
      <c r="O45" s="268"/>
      <c r="P45" s="268"/>
      <c r="Q45" s="268"/>
      <c r="R45" s="268"/>
      <c r="S45" s="268"/>
      <c r="T45" s="268"/>
      <c r="U45" s="268"/>
      <c r="V45" s="265">
        <v>33</v>
      </c>
    </row>
    <row r="46" spans="2:22" ht="14" customHeight="1" x14ac:dyDescent="0.15">
      <c r="B46" s="144"/>
      <c r="C46" s="266" t="s">
        <v>252</v>
      </c>
      <c r="D46" s="267"/>
      <c r="E46" s="268">
        <f t="shared" si="0"/>
        <v>81733.495387589486</v>
      </c>
      <c r="F46" s="268"/>
      <c r="G46" s="268"/>
      <c r="H46" s="268"/>
      <c r="I46" s="268"/>
      <c r="J46" s="268"/>
      <c r="K46" s="268"/>
      <c r="L46" s="268"/>
      <c r="M46" s="268"/>
      <c r="N46" s="268"/>
      <c r="O46" s="268"/>
      <c r="P46" s="268"/>
      <c r="Q46" s="268"/>
      <c r="R46" s="268"/>
      <c r="S46" s="268"/>
      <c r="T46" s="268"/>
      <c r="U46" s="268"/>
      <c r="V46" s="265">
        <v>34</v>
      </c>
    </row>
    <row r="47" spans="2:22" ht="14" customHeight="1" x14ac:dyDescent="0.15">
      <c r="B47" s="144"/>
      <c r="C47" s="266" t="s">
        <v>273</v>
      </c>
      <c r="D47" s="267"/>
      <c r="E47" s="268">
        <f t="shared" si="0"/>
        <v>48411.917248525991</v>
      </c>
      <c r="F47" s="268"/>
      <c r="G47" s="268"/>
      <c r="H47" s="268"/>
      <c r="I47" s="268"/>
      <c r="J47" s="268"/>
      <c r="K47" s="268"/>
      <c r="L47" s="268"/>
      <c r="M47" s="268"/>
      <c r="N47" s="268"/>
      <c r="O47" s="268"/>
      <c r="P47" s="268"/>
      <c r="Q47" s="268"/>
      <c r="R47" s="268"/>
      <c r="S47" s="268"/>
      <c r="T47" s="268"/>
      <c r="U47" s="268"/>
      <c r="V47" s="265">
        <v>35</v>
      </c>
    </row>
    <row r="48" spans="2:22" ht="14" customHeight="1" x14ac:dyDescent="0.15">
      <c r="B48" s="144"/>
      <c r="C48" s="266" t="s">
        <v>221</v>
      </c>
      <c r="D48" s="267"/>
      <c r="E48" s="268">
        <f t="shared" si="0"/>
        <v>294167.9675783515</v>
      </c>
      <c r="F48" s="268"/>
      <c r="G48" s="268"/>
      <c r="H48" s="268"/>
      <c r="I48" s="268"/>
      <c r="J48" s="268"/>
      <c r="K48" s="268"/>
      <c r="L48" s="268"/>
      <c r="M48" s="268"/>
      <c r="N48" s="268"/>
      <c r="O48" s="268"/>
      <c r="P48" s="268"/>
      <c r="Q48" s="268"/>
      <c r="R48" s="268"/>
      <c r="S48" s="268"/>
      <c r="T48" s="268"/>
      <c r="U48" s="268"/>
      <c r="V48" s="265">
        <v>36</v>
      </c>
    </row>
    <row r="49" spans="2:22" ht="14" customHeight="1" x14ac:dyDescent="0.15">
      <c r="B49" s="144"/>
      <c r="C49" s="266" t="s">
        <v>266</v>
      </c>
      <c r="D49" s="267"/>
      <c r="E49" s="268">
        <f t="shared" si="0"/>
        <v>67867.453914865095</v>
      </c>
      <c r="F49" s="268"/>
      <c r="G49" s="268"/>
      <c r="H49" s="268"/>
      <c r="I49" s="268"/>
      <c r="J49" s="268"/>
      <c r="K49" s="268"/>
      <c r="L49" s="268"/>
      <c r="M49" s="268"/>
      <c r="N49" s="268"/>
      <c r="O49" s="268"/>
      <c r="P49" s="268"/>
      <c r="Q49" s="268"/>
      <c r="R49" s="268"/>
      <c r="S49" s="268"/>
      <c r="T49" s="268"/>
      <c r="U49" s="268"/>
      <c r="V49" s="265">
        <v>37</v>
      </c>
    </row>
    <row r="50" spans="2:22" ht="14" customHeight="1" x14ac:dyDescent="0.15">
      <c r="B50" s="144"/>
      <c r="C50" s="266" t="s">
        <v>215</v>
      </c>
      <c r="D50" s="267"/>
      <c r="E50" s="268">
        <f t="shared" si="0"/>
        <v>139400.07689642726</v>
      </c>
      <c r="F50" s="268"/>
      <c r="G50" s="268"/>
      <c r="H50" s="268"/>
      <c r="I50" s="268"/>
      <c r="J50" s="268"/>
      <c r="K50" s="268"/>
      <c r="L50" s="268"/>
      <c r="M50" s="268"/>
      <c r="N50" s="268"/>
      <c r="O50" s="268"/>
      <c r="P50" s="268"/>
      <c r="Q50" s="268"/>
      <c r="R50" s="268"/>
      <c r="S50" s="268"/>
      <c r="T50" s="268"/>
      <c r="U50" s="268"/>
      <c r="V50" s="265">
        <v>38</v>
      </c>
    </row>
    <row r="51" spans="2:22" ht="14" customHeight="1" x14ac:dyDescent="0.15">
      <c r="B51" s="144"/>
      <c r="C51" s="266" t="s">
        <v>234</v>
      </c>
      <c r="D51" s="267"/>
      <c r="E51" s="268">
        <f t="shared" si="0"/>
        <v>127079.37715249156</v>
      </c>
      <c r="F51" s="268"/>
      <c r="G51" s="268"/>
      <c r="H51" s="268"/>
      <c r="I51" s="268"/>
      <c r="J51" s="268"/>
      <c r="K51" s="268"/>
      <c r="L51" s="268"/>
      <c r="M51" s="268"/>
      <c r="N51" s="268"/>
      <c r="O51" s="268"/>
      <c r="P51" s="268"/>
      <c r="Q51" s="268"/>
      <c r="R51" s="268"/>
      <c r="S51" s="268"/>
      <c r="T51" s="268"/>
      <c r="U51" s="268"/>
      <c r="V51" s="265">
        <v>39</v>
      </c>
    </row>
    <row r="52" spans="2:22" ht="14" customHeight="1" thickBot="1" x14ac:dyDescent="0.2">
      <c r="B52" s="28"/>
      <c r="C52" s="266" t="s">
        <v>242</v>
      </c>
      <c r="D52" s="269"/>
      <c r="E52" s="268">
        <f t="shared" si="0"/>
        <v>301788.40116599191</v>
      </c>
      <c r="F52" s="270"/>
      <c r="G52" s="270"/>
      <c r="H52" s="270"/>
      <c r="I52" s="270"/>
      <c r="J52" s="270"/>
      <c r="K52" s="270"/>
      <c r="L52" s="270"/>
      <c r="M52" s="270"/>
      <c r="N52" s="270"/>
      <c r="O52" s="270"/>
      <c r="P52" s="270"/>
      <c r="Q52" s="270"/>
      <c r="R52" s="270"/>
      <c r="S52" s="270"/>
      <c r="T52" s="270"/>
      <c r="U52" s="270"/>
      <c r="V52" s="271">
        <v>40</v>
      </c>
    </row>
    <row r="53" spans="2:22" x14ac:dyDescent="0.15">
      <c r="C53" s="266" t="s">
        <v>224</v>
      </c>
      <c r="E53" s="268">
        <f t="shared" si="0"/>
        <v>154544.44739082968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272">
        <v>41</v>
      </c>
    </row>
    <row r="54" spans="2:22" ht="14" thickBot="1" x14ac:dyDescent="0.2">
      <c r="C54" s="273" t="s">
        <v>420</v>
      </c>
      <c r="E54" s="268">
        <f t="shared" si="0"/>
        <v>82379.122807573425</v>
      </c>
      <c r="V54" s="272">
        <v>42</v>
      </c>
    </row>
    <row r="55" spans="2:22" x14ac:dyDescent="0.15">
      <c r="V55" s="272">
        <v>43</v>
      </c>
    </row>
    <row r="56" spans="2:22" x14ac:dyDescent="0.15">
      <c r="V56" s="272">
        <v>44</v>
      </c>
    </row>
    <row r="57" spans="2:22" x14ac:dyDescent="0.15">
      <c r="V57" s="272">
        <v>45</v>
      </c>
    </row>
    <row r="58" spans="2:22" x14ac:dyDescent="0.15">
      <c r="V58" s="272">
        <v>46</v>
      </c>
    </row>
    <row r="59" spans="2:22" x14ac:dyDescent="0.15">
      <c r="V59" s="272">
        <v>47</v>
      </c>
    </row>
    <row r="60" spans="2:22" x14ac:dyDescent="0.15">
      <c r="V60" s="272">
        <v>48</v>
      </c>
    </row>
    <row r="61" spans="2:22" x14ac:dyDescent="0.15">
      <c r="V61" s="272">
        <v>49</v>
      </c>
    </row>
    <row r="62" spans="2:22" x14ac:dyDescent="0.15">
      <c r="V62" s="272">
        <v>50</v>
      </c>
    </row>
    <row r="63" spans="2:22" x14ac:dyDescent="0.15">
      <c r="V63" s="272">
        <v>51</v>
      </c>
    </row>
    <row r="64" spans="2:22" x14ac:dyDescent="0.15">
      <c r="V64" s="272">
        <v>52</v>
      </c>
    </row>
    <row r="65" spans="22:22" x14ac:dyDescent="0.15">
      <c r="V65" s="272">
        <v>53</v>
      </c>
    </row>
    <row r="66" spans="22:22" x14ac:dyDescent="0.15">
      <c r="V66" s="272">
        <v>54</v>
      </c>
    </row>
    <row r="67" spans="22:22" x14ac:dyDescent="0.15">
      <c r="V67" s="272">
        <v>55</v>
      </c>
    </row>
    <row r="68" spans="22:22" x14ac:dyDescent="0.15">
      <c r="V68" s="272">
        <v>56</v>
      </c>
    </row>
    <row r="69" spans="22:22" x14ac:dyDescent="0.15">
      <c r="V69" s="272">
        <v>57</v>
      </c>
    </row>
    <row r="70" spans="22:22" x14ac:dyDescent="0.15">
      <c r="V70" s="272">
        <v>58</v>
      </c>
    </row>
    <row r="71" spans="22:22" x14ac:dyDescent="0.15">
      <c r="V71" s="272">
        <v>59</v>
      </c>
    </row>
    <row r="72" spans="22:22" x14ac:dyDescent="0.15">
      <c r="V72" s="272">
        <v>60</v>
      </c>
    </row>
    <row r="73" spans="22:22" x14ac:dyDescent="0.15">
      <c r="V73" s="272">
        <v>61</v>
      </c>
    </row>
    <row r="74" spans="22:22" x14ac:dyDescent="0.15">
      <c r="V74" s="272">
        <v>62</v>
      </c>
    </row>
    <row r="75" spans="22:22" x14ac:dyDescent="0.15">
      <c r="V75" s="272">
        <v>63</v>
      </c>
    </row>
    <row r="76" spans="22:22" x14ac:dyDescent="0.15">
      <c r="V76" s="272">
        <v>64</v>
      </c>
    </row>
    <row r="77" spans="22:22" x14ac:dyDescent="0.15">
      <c r="V77" s="272">
        <v>65</v>
      </c>
    </row>
    <row r="78" spans="22:22" x14ac:dyDescent="0.15">
      <c r="V78" s="272">
        <v>66</v>
      </c>
    </row>
    <row r="79" spans="22:22" x14ac:dyDescent="0.15">
      <c r="V79" s="272">
        <v>67</v>
      </c>
    </row>
    <row r="80" spans="22:22" x14ac:dyDescent="0.15">
      <c r="V80" s="272">
        <v>68</v>
      </c>
    </row>
    <row r="81" spans="22:22" x14ac:dyDescent="0.15">
      <c r="V81" s="272">
        <v>69</v>
      </c>
    </row>
    <row r="82" spans="22:22" x14ac:dyDescent="0.15">
      <c r="V82" s="272">
        <v>70</v>
      </c>
    </row>
    <row r="83" spans="22:22" x14ac:dyDescent="0.15">
      <c r="V83" s="272">
        <v>71</v>
      </c>
    </row>
    <row r="84" spans="22:22" x14ac:dyDescent="0.15">
      <c r="V84" s="272">
        <v>72</v>
      </c>
    </row>
    <row r="85" spans="22:22" x14ac:dyDescent="0.15">
      <c r="V85" s="272">
        <v>73</v>
      </c>
    </row>
    <row r="86" spans="22:22" x14ac:dyDescent="0.15">
      <c r="V86" s="272">
        <v>74</v>
      </c>
    </row>
    <row r="87" spans="22:22" x14ac:dyDescent="0.15">
      <c r="V87" s="272">
        <v>75</v>
      </c>
    </row>
    <row r="88" spans="22:22" x14ac:dyDescent="0.15">
      <c r="V88" s="272">
        <v>76</v>
      </c>
    </row>
    <row r="89" spans="22:22" x14ac:dyDescent="0.15">
      <c r="V89" s="272">
        <v>77</v>
      </c>
    </row>
    <row r="90" spans="22:22" x14ac:dyDescent="0.15">
      <c r="V90" s="272">
        <v>78</v>
      </c>
    </row>
    <row r="91" spans="22:22" x14ac:dyDescent="0.15">
      <c r="V91" s="272">
        <v>79</v>
      </c>
    </row>
    <row r="92" spans="22:22" x14ac:dyDescent="0.15">
      <c r="V92" s="272">
        <v>80</v>
      </c>
    </row>
    <row r="93" spans="22:22" x14ac:dyDescent="0.15">
      <c r="V93" s="272">
        <v>81</v>
      </c>
    </row>
    <row r="94" spans="22:22" x14ac:dyDescent="0.15">
      <c r="V94" s="272">
        <v>82</v>
      </c>
    </row>
    <row r="95" spans="22:22" x14ac:dyDescent="0.15">
      <c r="V95" s="272">
        <v>83</v>
      </c>
    </row>
    <row r="96" spans="22:22" x14ac:dyDescent="0.15">
      <c r="V96" s="272">
        <v>84</v>
      </c>
    </row>
    <row r="97" spans="22:22" x14ac:dyDescent="0.15">
      <c r="V97" s="272">
        <v>85</v>
      </c>
    </row>
    <row r="98" spans="22:22" x14ac:dyDescent="0.15">
      <c r="V98" s="272">
        <v>86</v>
      </c>
    </row>
    <row r="99" spans="22:22" x14ac:dyDescent="0.15">
      <c r="V99" s="272">
        <v>87</v>
      </c>
    </row>
    <row r="100" spans="22:22" x14ac:dyDescent="0.15">
      <c r="V100" s="272">
        <v>88</v>
      </c>
    </row>
    <row r="101" spans="22:22" x14ac:dyDescent="0.15">
      <c r="V101" s="272">
        <v>89</v>
      </c>
    </row>
    <row r="102" spans="22:22" x14ac:dyDescent="0.15">
      <c r="V102" s="272">
        <v>90</v>
      </c>
    </row>
    <row r="103" spans="22:22" x14ac:dyDescent="0.15">
      <c r="V103" s="272">
        <v>91</v>
      </c>
    </row>
    <row r="104" spans="22:22" x14ac:dyDescent="0.15">
      <c r="V104" s="272">
        <v>92</v>
      </c>
    </row>
    <row r="105" spans="22:22" x14ac:dyDescent="0.15">
      <c r="V105" s="272">
        <v>93</v>
      </c>
    </row>
    <row r="106" spans="22:22" x14ac:dyDescent="0.15">
      <c r="V106" s="272">
        <v>94</v>
      </c>
    </row>
    <row r="107" spans="22:22" x14ac:dyDescent="0.15">
      <c r="V107" s="272">
        <v>95</v>
      </c>
    </row>
    <row r="108" spans="22:22" x14ac:dyDescent="0.15">
      <c r="V108" s="272">
        <v>96</v>
      </c>
    </row>
    <row r="109" spans="22:22" x14ac:dyDescent="0.15">
      <c r="V109" s="272">
        <v>97</v>
      </c>
    </row>
    <row r="110" spans="22:22" x14ac:dyDescent="0.15">
      <c r="V110" s="272">
        <v>98</v>
      </c>
    </row>
    <row r="111" spans="22:22" x14ac:dyDescent="0.15">
      <c r="V111" s="272">
        <v>99</v>
      </c>
    </row>
    <row r="112" spans="22:22" x14ac:dyDescent="0.15">
      <c r="V112" s="272">
        <v>100</v>
      </c>
    </row>
    <row r="113" spans="22:22" x14ac:dyDescent="0.15">
      <c r="V113" s="272">
        <v>101</v>
      </c>
    </row>
    <row r="114" spans="22:22" x14ac:dyDescent="0.15">
      <c r="V114" s="272">
        <v>102</v>
      </c>
    </row>
    <row r="115" spans="22:22" x14ac:dyDescent="0.15">
      <c r="V115" s="272">
        <v>103</v>
      </c>
    </row>
    <row r="116" spans="22:22" x14ac:dyDescent="0.15">
      <c r="V116" s="272">
        <v>104</v>
      </c>
    </row>
    <row r="117" spans="22:22" x14ac:dyDescent="0.15">
      <c r="V117" s="272">
        <v>105</v>
      </c>
    </row>
    <row r="118" spans="22:22" x14ac:dyDescent="0.15">
      <c r="V118" s="272">
        <v>106</v>
      </c>
    </row>
    <row r="119" spans="22:22" x14ac:dyDescent="0.15">
      <c r="V119" s="272">
        <v>107</v>
      </c>
    </row>
    <row r="120" spans="22:22" x14ac:dyDescent="0.15">
      <c r="V120" s="272">
        <v>108</v>
      </c>
    </row>
    <row r="121" spans="22:22" x14ac:dyDescent="0.15">
      <c r="V121" s="272">
        <v>109</v>
      </c>
    </row>
    <row r="122" spans="22:22" x14ac:dyDescent="0.15">
      <c r="V122" s="272">
        <v>110</v>
      </c>
    </row>
    <row r="123" spans="22:22" x14ac:dyDescent="0.15">
      <c r="V123" s="272">
        <v>111</v>
      </c>
    </row>
    <row r="124" spans="22:22" x14ac:dyDescent="0.15">
      <c r="V124" s="272">
        <v>112</v>
      </c>
    </row>
    <row r="125" spans="22:22" x14ac:dyDescent="0.15">
      <c r="V125" s="272">
        <v>113</v>
      </c>
    </row>
    <row r="126" spans="22:22" x14ac:dyDescent="0.15">
      <c r="V126" s="272">
        <v>114</v>
      </c>
    </row>
    <row r="127" spans="22:22" x14ac:dyDescent="0.15">
      <c r="V127" s="272">
        <v>115</v>
      </c>
    </row>
    <row r="128" spans="22:22" x14ac:dyDescent="0.15">
      <c r="V128" s="272">
        <v>116</v>
      </c>
    </row>
    <row r="129" spans="22:22" x14ac:dyDescent="0.15">
      <c r="V129" s="272">
        <v>117</v>
      </c>
    </row>
    <row r="130" spans="22:22" x14ac:dyDescent="0.15">
      <c r="V130" s="272">
        <v>118</v>
      </c>
    </row>
    <row r="131" spans="22:22" x14ac:dyDescent="0.15">
      <c r="V131" s="272">
        <v>119</v>
      </c>
    </row>
    <row r="132" spans="22:22" x14ac:dyDescent="0.15">
      <c r="V132" s="272">
        <v>120</v>
      </c>
    </row>
    <row r="133" spans="22:22" x14ac:dyDescent="0.15">
      <c r="V133" s="272">
        <v>121</v>
      </c>
    </row>
    <row r="134" spans="22:22" x14ac:dyDescent="0.15">
      <c r="V134" s="272">
        <v>122</v>
      </c>
    </row>
    <row r="135" spans="22:22" x14ac:dyDescent="0.15">
      <c r="V135" s="272">
        <v>123</v>
      </c>
    </row>
    <row r="136" spans="22:22" x14ac:dyDescent="0.15">
      <c r="V136" s="272">
        <v>124</v>
      </c>
    </row>
    <row r="137" spans="22:22" x14ac:dyDescent="0.15">
      <c r="V137" s="272">
        <v>125</v>
      </c>
    </row>
    <row r="138" spans="22:22" x14ac:dyDescent="0.15">
      <c r="V138" s="272">
        <v>126</v>
      </c>
    </row>
    <row r="139" spans="22:22" x14ac:dyDescent="0.15">
      <c r="V139" s="272">
        <v>127</v>
      </c>
    </row>
    <row r="140" spans="22:22" x14ac:dyDescent="0.15">
      <c r="V140" s="272">
        <v>128</v>
      </c>
    </row>
    <row r="141" spans="22:22" x14ac:dyDescent="0.15">
      <c r="V141" s="272">
        <v>129</v>
      </c>
    </row>
    <row r="142" spans="22:22" x14ac:dyDescent="0.15">
      <c r="V142" s="272">
        <v>130</v>
      </c>
    </row>
    <row r="143" spans="22:22" x14ac:dyDescent="0.15">
      <c r="V143" s="272">
        <v>131</v>
      </c>
    </row>
    <row r="144" spans="22:22" x14ac:dyDescent="0.15">
      <c r="V144" s="272">
        <v>132</v>
      </c>
    </row>
    <row r="145" spans="22:22" x14ac:dyDescent="0.15">
      <c r="V145" s="272">
        <v>133</v>
      </c>
    </row>
    <row r="146" spans="22:22" x14ac:dyDescent="0.15">
      <c r="V146" s="272">
        <v>134</v>
      </c>
    </row>
    <row r="147" spans="22:22" x14ac:dyDescent="0.15">
      <c r="V147" s="272">
        <v>135</v>
      </c>
    </row>
    <row r="148" spans="22:22" x14ac:dyDescent="0.15">
      <c r="V148" s="272">
        <v>136</v>
      </c>
    </row>
    <row r="149" spans="22:22" x14ac:dyDescent="0.15">
      <c r="V149" s="272">
        <v>137</v>
      </c>
    </row>
    <row r="150" spans="22:22" x14ac:dyDescent="0.15">
      <c r="V150" s="272">
        <v>138</v>
      </c>
    </row>
    <row r="151" spans="22:22" x14ac:dyDescent="0.15">
      <c r="V151" s="272">
        <v>139</v>
      </c>
    </row>
    <row r="152" spans="22:22" x14ac:dyDescent="0.15">
      <c r="V152" s="272">
        <v>140</v>
      </c>
    </row>
    <row r="153" spans="22:22" x14ac:dyDescent="0.15">
      <c r="V153" s="272">
        <v>141</v>
      </c>
    </row>
    <row r="154" spans="22:22" x14ac:dyDescent="0.15">
      <c r="V154" s="272">
        <v>142</v>
      </c>
    </row>
    <row r="155" spans="22:22" x14ac:dyDescent="0.15">
      <c r="V155" s="272">
        <v>143</v>
      </c>
    </row>
    <row r="156" spans="22:22" x14ac:dyDescent="0.15">
      <c r="V156" s="272">
        <v>144</v>
      </c>
    </row>
    <row r="157" spans="22:22" x14ac:dyDescent="0.15">
      <c r="V157" s="272">
        <v>145</v>
      </c>
    </row>
    <row r="158" spans="22:22" x14ac:dyDescent="0.15">
      <c r="V158" s="272">
        <v>146</v>
      </c>
    </row>
    <row r="159" spans="22:22" x14ac:dyDescent="0.15">
      <c r="V159" s="272">
        <v>147</v>
      </c>
    </row>
    <row r="160" spans="22:22" x14ac:dyDescent="0.15">
      <c r="V160" s="272">
        <v>148</v>
      </c>
    </row>
    <row r="161" spans="22:22" x14ac:dyDescent="0.15">
      <c r="V161" s="272">
        <v>149</v>
      </c>
    </row>
    <row r="162" spans="22:22" x14ac:dyDescent="0.15">
      <c r="V162" s="272">
        <v>150</v>
      </c>
    </row>
    <row r="163" spans="22:22" x14ac:dyDescent="0.15">
      <c r="V163" s="272">
        <v>151</v>
      </c>
    </row>
    <row r="164" spans="22:22" x14ac:dyDescent="0.15">
      <c r="V164" s="272">
        <v>152</v>
      </c>
    </row>
    <row r="165" spans="22:22" x14ac:dyDescent="0.15">
      <c r="V165" s="272">
        <v>153</v>
      </c>
    </row>
    <row r="166" spans="22:22" x14ac:dyDescent="0.15">
      <c r="V166" s="272">
        <v>154</v>
      </c>
    </row>
    <row r="167" spans="22:22" x14ac:dyDescent="0.15">
      <c r="V167" s="272">
        <v>155</v>
      </c>
    </row>
    <row r="168" spans="22:22" x14ac:dyDescent="0.15">
      <c r="V168" s="272">
        <v>156</v>
      </c>
    </row>
    <row r="169" spans="22:22" x14ac:dyDescent="0.15">
      <c r="V169" s="272">
        <v>157</v>
      </c>
    </row>
    <row r="170" spans="22:22" x14ac:dyDescent="0.15">
      <c r="V170" s="272">
        <v>158</v>
      </c>
    </row>
    <row r="171" spans="22:22" x14ac:dyDescent="0.15">
      <c r="V171" s="272">
        <v>159</v>
      </c>
    </row>
    <row r="172" spans="22:22" x14ac:dyDescent="0.15">
      <c r="V172" s="272">
        <v>160</v>
      </c>
    </row>
    <row r="173" spans="22:22" x14ac:dyDescent="0.15">
      <c r="V173" s="272">
        <v>161</v>
      </c>
    </row>
    <row r="174" spans="22:22" x14ac:dyDescent="0.15">
      <c r="V174" s="272">
        <v>162</v>
      </c>
    </row>
    <row r="175" spans="22:22" x14ac:dyDescent="0.15">
      <c r="V175" s="272">
        <v>163</v>
      </c>
    </row>
    <row r="176" spans="22:22" x14ac:dyDescent="0.15">
      <c r="V176" s="272">
        <v>164</v>
      </c>
    </row>
    <row r="177" spans="22:22" x14ac:dyDescent="0.15">
      <c r="V177" s="272">
        <v>165</v>
      </c>
    </row>
    <row r="178" spans="22:22" x14ac:dyDescent="0.15">
      <c r="V178" s="272">
        <v>166</v>
      </c>
    </row>
    <row r="179" spans="22:22" x14ac:dyDescent="0.15">
      <c r="V179" s="272">
        <v>167</v>
      </c>
    </row>
    <row r="180" spans="22:22" x14ac:dyDescent="0.15">
      <c r="V180" s="272">
        <v>168</v>
      </c>
    </row>
    <row r="181" spans="22:22" x14ac:dyDescent="0.15">
      <c r="V181" s="272">
        <v>169</v>
      </c>
    </row>
    <row r="182" spans="22:22" x14ac:dyDescent="0.15">
      <c r="V182" s="272">
        <v>170</v>
      </c>
    </row>
    <row r="183" spans="22:22" x14ac:dyDescent="0.15">
      <c r="V183" s="272">
        <v>171</v>
      </c>
    </row>
    <row r="184" spans="22:22" x14ac:dyDescent="0.15">
      <c r="V184" s="272">
        <v>172</v>
      </c>
    </row>
    <row r="185" spans="22:22" x14ac:dyDescent="0.15">
      <c r="V185" s="272">
        <v>173</v>
      </c>
    </row>
    <row r="186" spans="22:22" x14ac:dyDescent="0.15">
      <c r="V186" s="272">
        <v>174</v>
      </c>
    </row>
    <row r="187" spans="22:22" x14ac:dyDescent="0.15">
      <c r="V187" s="272">
        <v>175</v>
      </c>
    </row>
    <row r="188" spans="22:22" x14ac:dyDescent="0.15">
      <c r="V188" s="272">
        <v>176</v>
      </c>
    </row>
    <row r="189" spans="22:22" x14ac:dyDescent="0.15">
      <c r="V189" s="272">
        <v>177</v>
      </c>
    </row>
    <row r="190" spans="22:22" x14ac:dyDescent="0.15">
      <c r="V190" s="272">
        <v>178</v>
      </c>
    </row>
    <row r="191" spans="22:22" x14ac:dyDescent="0.15">
      <c r="V191" s="272">
        <v>179</v>
      </c>
    </row>
    <row r="192" spans="22:22" x14ac:dyDescent="0.15">
      <c r="V192" s="272">
        <v>180</v>
      </c>
    </row>
    <row r="193" spans="22:22" x14ac:dyDescent="0.15">
      <c r="V193" s="272">
        <v>181</v>
      </c>
    </row>
    <row r="194" spans="22:22" x14ac:dyDescent="0.15">
      <c r="V194" s="272">
        <v>182</v>
      </c>
    </row>
    <row r="195" spans="22:22" x14ac:dyDescent="0.15">
      <c r="V195" s="272">
        <v>183</v>
      </c>
    </row>
    <row r="196" spans="22:22" x14ac:dyDescent="0.15">
      <c r="V196" s="272">
        <v>184</v>
      </c>
    </row>
    <row r="197" spans="22:22" x14ac:dyDescent="0.15">
      <c r="V197" s="272">
        <v>185</v>
      </c>
    </row>
    <row r="198" spans="22:22" x14ac:dyDescent="0.15">
      <c r="V198" s="272">
        <v>186</v>
      </c>
    </row>
    <row r="199" spans="22:22" x14ac:dyDescent="0.15">
      <c r="V199" s="272">
        <v>187</v>
      </c>
    </row>
    <row r="200" spans="22:22" x14ac:dyDescent="0.15">
      <c r="V200" s="272">
        <v>188</v>
      </c>
    </row>
    <row r="201" spans="22:22" x14ac:dyDescent="0.15">
      <c r="V201" s="272">
        <v>189</v>
      </c>
    </row>
    <row r="202" spans="22:22" x14ac:dyDescent="0.15">
      <c r="V202" s="272">
        <v>190</v>
      </c>
    </row>
    <row r="203" spans="22:22" x14ac:dyDescent="0.15">
      <c r="V203" s="272">
        <v>191</v>
      </c>
    </row>
    <row r="204" spans="22:22" x14ac:dyDescent="0.15">
      <c r="V204" s="272">
        <v>192</v>
      </c>
    </row>
    <row r="205" spans="22:22" x14ac:dyDescent="0.15">
      <c r="V205" s="272">
        <v>193</v>
      </c>
    </row>
    <row r="206" spans="22:22" x14ac:dyDescent="0.15">
      <c r="V206" s="272">
        <v>194</v>
      </c>
    </row>
    <row r="207" spans="22:22" x14ac:dyDescent="0.15">
      <c r="V207" s="272">
        <v>195</v>
      </c>
    </row>
    <row r="208" spans="22:22" x14ac:dyDescent="0.15">
      <c r="V208" s="272">
        <v>196</v>
      </c>
    </row>
    <row r="209" spans="22:22" x14ac:dyDescent="0.15">
      <c r="V209" s="272">
        <v>197</v>
      </c>
    </row>
    <row r="210" spans="22:22" x14ac:dyDescent="0.15">
      <c r="V210" s="272">
        <v>198</v>
      </c>
    </row>
    <row r="211" spans="22:22" x14ac:dyDescent="0.15">
      <c r="V211" s="272">
        <v>199</v>
      </c>
    </row>
    <row r="212" spans="22:22" x14ac:dyDescent="0.15">
      <c r="V212" s="272">
        <v>200</v>
      </c>
    </row>
    <row r="213" spans="22:22" x14ac:dyDescent="0.15">
      <c r="V213" s="272">
        <v>201</v>
      </c>
    </row>
    <row r="214" spans="22:22" x14ac:dyDescent="0.15">
      <c r="V214" s="272">
        <v>202</v>
      </c>
    </row>
    <row r="215" spans="22:22" x14ac:dyDescent="0.15">
      <c r="V215" s="272">
        <v>203</v>
      </c>
    </row>
    <row r="216" spans="22:22" x14ac:dyDescent="0.15">
      <c r="V216" s="272">
        <v>204</v>
      </c>
    </row>
    <row r="217" spans="22:22" x14ac:dyDescent="0.15">
      <c r="V217" s="272">
        <v>205</v>
      </c>
    </row>
    <row r="218" spans="22:22" x14ac:dyDescent="0.15">
      <c r="V218" s="272">
        <v>206</v>
      </c>
    </row>
    <row r="219" spans="22:22" x14ac:dyDescent="0.15">
      <c r="V219" s="272">
        <v>207</v>
      </c>
    </row>
    <row r="220" spans="22:22" x14ac:dyDescent="0.15">
      <c r="V220" s="272">
        <v>208</v>
      </c>
    </row>
    <row r="221" spans="22:22" x14ac:dyDescent="0.15">
      <c r="V221" s="272">
        <v>209</v>
      </c>
    </row>
    <row r="222" spans="22:22" x14ac:dyDescent="0.15">
      <c r="V222" s="272">
        <v>210</v>
      </c>
    </row>
    <row r="223" spans="22:22" x14ac:dyDescent="0.15">
      <c r="V223" s="272">
        <v>211</v>
      </c>
    </row>
    <row r="224" spans="22:22" x14ac:dyDescent="0.15">
      <c r="V224" s="272">
        <v>212</v>
      </c>
    </row>
    <row r="225" spans="22:22" x14ac:dyDescent="0.15">
      <c r="V225" s="272">
        <v>213</v>
      </c>
    </row>
    <row r="226" spans="22:22" x14ac:dyDescent="0.15">
      <c r="V226" s="272">
        <v>214</v>
      </c>
    </row>
    <row r="227" spans="22:22" x14ac:dyDescent="0.15">
      <c r="V227" s="272">
        <v>215</v>
      </c>
    </row>
    <row r="228" spans="22:22" x14ac:dyDescent="0.15">
      <c r="V228" s="272">
        <v>216</v>
      </c>
    </row>
    <row r="229" spans="22:22" x14ac:dyDescent="0.15">
      <c r="V229" s="272">
        <v>217</v>
      </c>
    </row>
    <row r="230" spans="22:22" x14ac:dyDescent="0.15">
      <c r="V230" s="272">
        <v>218</v>
      </c>
    </row>
    <row r="231" spans="22:22" x14ac:dyDescent="0.15">
      <c r="V231" s="272">
        <v>219</v>
      </c>
    </row>
    <row r="232" spans="22:22" x14ac:dyDescent="0.15">
      <c r="V232" s="272">
        <v>220</v>
      </c>
    </row>
    <row r="233" spans="22:22" x14ac:dyDescent="0.15">
      <c r="V233" s="272">
        <v>221</v>
      </c>
    </row>
    <row r="234" spans="22:22" x14ac:dyDescent="0.15">
      <c r="V234" s="272">
        <v>222</v>
      </c>
    </row>
    <row r="235" spans="22:22" x14ac:dyDescent="0.15">
      <c r="V235" s="272">
        <v>223</v>
      </c>
    </row>
    <row r="236" spans="22:22" x14ac:dyDescent="0.15">
      <c r="V236" s="272">
        <v>224</v>
      </c>
    </row>
    <row r="237" spans="22:22" x14ac:dyDescent="0.15">
      <c r="V237" s="272">
        <v>225</v>
      </c>
    </row>
    <row r="238" spans="22:22" x14ac:dyDescent="0.15">
      <c r="V238" s="272">
        <v>226</v>
      </c>
    </row>
    <row r="239" spans="22:22" x14ac:dyDescent="0.15">
      <c r="V239" s="272">
        <v>227</v>
      </c>
    </row>
    <row r="240" spans="22:22" x14ac:dyDescent="0.15">
      <c r="V240" s="272">
        <v>228</v>
      </c>
    </row>
    <row r="241" spans="22:22" x14ac:dyDescent="0.15">
      <c r="V241" s="272">
        <v>229</v>
      </c>
    </row>
    <row r="242" spans="22:22" x14ac:dyDescent="0.15">
      <c r="V242" s="272">
        <v>230</v>
      </c>
    </row>
    <row r="243" spans="22:22" x14ac:dyDescent="0.15">
      <c r="V243" s="272">
        <v>231</v>
      </c>
    </row>
    <row r="244" spans="22:22" x14ac:dyDescent="0.15">
      <c r="V244" s="272">
        <v>232</v>
      </c>
    </row>
    <row r="245" spans="22:22" x14ac:dyDescent="0.15">
      <c r="V245" s="272">
        <v>233</v>
      </c>
    </row>
    <row r="246" spans="22:22" x14ac:dyDescent="0.15">
      <c r="V246" s="272">
        <v>234</v>
      </c>
    </row>
    <row r="247" spans="22:22" x14ac:dyDescent="0.15">
      <c r="V247" s="272">
        <v>235</v>
      </c>
    </row>
    <row r="248" spans="22:22" x14ac:dyDescent="0.15">
      <c r="V248" s="272">
        <v>236</v>
      </c>
    </row>
    <row r="249" spans="22:22" x14ac:dyDescent="0.15">
      <c r="V249" s="272">
        <v>237</v>
      </c>
    </row>
    <row r="250" spans="22:22" x14ac:dyDescent="0.15">
      <c r="V250" s="272">
        <v>238</v>
      </c>
    </row>
    <row r="251" spans="22:22" x14ac:dyDescent="0.15">
      <c r="V251" s="272">
        <v>239</v>
      </c>
    </row>
    <row r="252" spans="22:22" x14ac:dyDescent="0.15">
      <c r="V252" s="272">
        <v>240</v>
      </c>
    </row>
    <row r="253" spans="22:22" x14ac:dyDescent="0.15">
      <c r="V253" s="272">
        <v>241</v>
      </c>
    </row>
    <row r="254" spans="22:22" x14ac:dyDescent="0.15">
      <c r="V254" s="272">
        <v>242</v>
      </c>
    </row>
    <row r="255" spans="22:22" x14ac:dyDescent="0.15">
      <c r="V255" s="272">
        <v>243</v>
      </c>
    </row>
    <row r="256" spans="22:22" x14ac:dyDescent="0.15">
      <c r="V256" s="272">
        <v>244</v>
      </c>
    </row>
    <row r="257" spans="22:22" x14ac:dyDescent="0.15">
      <c r="V257" s="272">
        <v>245</v>
      </c>
    </row>
    <row r="258" spans="22:22" x14ac:dyDescent="0.15">
      <c r="V258" s="272">
        <v>246</v>
      </c>
    </row>
    <row r="259" spans="22:22" x14ac:dyDescent="0.15">
      <c r="V259" s="272">
        <v>247</v>
      </c>
    </row>
    <row r="260" spans="22:22" x14ac:dyDescent="0.15">
      <c r="V260" s="272">
        <v>248</v>
      </c>
    </row>
    <row r="261" spans="22:22" x14ac:dyDescent="0.15">
      <c r="V261" s="272">
        <v>249</v>
      </c>
    </row>
    <row r="262" spans="22:22" x14ac:dyDescent="0.15">
      <c r="V262" s="272">
        <v>250</v>
      </c>
    </row>
    <row r="263" spans="22:22" x14ac:dyDescent="0.15">
      <c r="V263" s="272">
        <v>251</v>
      </c>
    </row>
    <row r="264" spans="22:22" x14ac:dyDescent="0.15">
      <c r="V264" s="272">
        <v>252</v>
      </c>
    </row>
    <row r="265" spans="22:22" x14ac:dyDescent="0.15">
      <c r="V265" s="272">
        <v>253</v>
      </c>
    </row>
    <row r="266" spans="22:22" x14ac:dyDescent="0.15">
      <c r="V266" s="272">
        <v>254</v>
      </c>
    </row>
    <row r="267" spans="22:22" x14ac:dyDescent="0.15">
      <c r="V267" s="272">
        <v>255</v>
      </c>
    </row>
    <row r="268" spans="22:22" x14ac:dyDescent="0.15">
      <c r="V268" s="272">
        <v>256</v>
      </c>
    </row>
    <row r="269" spans="22:22" x14ac:dyDescent="0.15">
      <c r="V269" s="272">
        <v>257</v>
      </c>
    </row>
    <row r="270" spans="22:22" x14ac:dyDescent="0.15">
      <c r="V270" s="272">
        <v>258</v>
      </c>
    </row>
    <row r="271" spans="22:22" x14ac:dyDescent="0.15">
      <c r="V271" s="272">
        <v>259</v>
      </c>
    </row>
    <row r="272" spans="22:22" x14ac:dyDescent="0.15">
      <c r="V272" s="272">
        <v>260</v>
      </c>
    </row>
    <row r="273" spans="22:22" x14ac:dyDescent="0.15">
      <c r="V273" s="272">
        <v>261</v>
      </c>
    </row>
    <row r="274" spans="22:22" x14ac:dyDescent="0.15">
      <c r="V274" s="272">
        <v>262</v>
      </c>
    </row>
    <row r="275" spans="22:22" x14ac:dyDescent="0.15">
      <c r="V275" s="272">
        <v>263</v>
      </c>
    </row>
    <row r="276" spans="22:22" x14ac:dyDescent="0.15">
      <c r="V276" s="272">
        <v>264</v>
      </c>
    </row>
    <row r="277" spans="22:22" x14ac:dyDescent="0.15">
      <c r="V277" s="272">
        <v>265</v>
      </c>
    </row>
    <row r="278" spans="22:22" x14ac:dyDescent="0.15">
      <c r="V278" s="272">
        <v>266</v>
      </c>
    </row>
    <row r="279" spans="22:22" x14ac:dyDescent="0.15">
      <c r="V279" s="272">
        <v>267</v>
      </c>
    </row>
    <row r="280" spans="22:22" x14ac:dyDescent="0.15">
      <c r="V280" s="272">
        <v>268</v>
      </c>
    </row>
    <row r="281" spans="22:22" x14ac:dyDescent="0.15">
      <c r="V281" s="272">
        <v>269</v>
      </c>
    </row>
    <row r="282" spans="22:22" x14ac:dyDescent="0.15">
      <c r="V282" s="272">
        <v>270</v>
      </c>
    </row>
    <row r="283" spans="22:22" x14ac:dyDescent="0.15">
      <c r="V283" s="272">
        <v>271</v>
      </c>
    </row>
    <row r="284" spans="22:22" x14ac:dyDescent="0.15">
      <c r="V284" s="272">
        <v>272</v>
      </c>
    </row>
    <row r="285" spans="22:22" x14ac:dyDescent="0.15">
      <c r="V285" s="272">
        <v>273</v>
      </c>
    </row>
    <row r="286" spans="22:22" x14ac:dyDescent="0.15">
      <c r="V286" s="272">
        <v>274</v>
      </c>
    </row>
    <row r="287" spans="22:22" x14ac:dyDescent="0.15">
      <c r="V287" s="272">
        <v>275</v>
      </c>
    </row>
    <row r="288" spans="22:22" x14ac:dyDescent="0.15">
      <c r="V288" s="272">
        <v>276</v>
      </c>
    </row>
    <row r="289" spans="22:22" x14ac:dyDescent="0.15">
      <c r="V289" s="272">
        <v>277</v>
      </c>
    </row>
    <row r="290" spans="22:22" x14ac:dyDescent="0.15">
      <c r="V290" s="272">
        <v>278</v>
      </c>
    </row>
    <row r="291" spans="22:22" x14ac:dyDescent="0.15">
      <c r="V291" s="272">
        <v>279</v>
      </c>
    </row>
    <row r="292" spans="22:22" x14ac:dyDescent="0.15">
      <c r="V292" s="272">
        <v>280</v>
      </c>
    </row>
    <row r="293" spans="22:22" x14ac:dyDescent="0.15">
      <c r="V293" s="272">
        <v>281</v>
      </c>
    </row>
    <row r="294" spans="22:22" x14ac:dyDescent="0.15">
      <c r="V294" s="272">
        <v>282</v>
      </c>
    </row>
    <row r="295" spans="22:22" x14ac:dyDescent="0.15">
      <c r="V295" s="272">
        <v>283</v>
      </c>
    </row>
    <row r="296" spans="22:22" x14ac:dyDescent="0.15">
      <c r="V296" s="272">
        <v>284</v>
      </c>
    </row>
    <row r="297" spans="22:22" x14ac:dyDescent="0.15">
      <c r="V297" s="272">
        <v>285</v>
      </c>
    </row>
    <row r="298" spans="22:22" x14ac:dyDescent="0.15">
      <c r="V298" s="272">
        <v>286</v>
      </c>
    </row>
    <row r="299" spans="22:22" x14ac:dyDescent="0.15">
      <c r="V299" s="272">
        <v>287</v>
      </c>
    </row>
    <row r="300" spans="22:22" x14ac:dyDescent="0.15">
      <c r="V300" s="272">
        <v>288</v>
      </c>
    </row>
    <row r="301" spans="22:22" x14ac:dyDescent="0.15">
      <c r="V301" s="272">
        <v>289</v>
      </c>
    </row>
    <row r="302" spans="22:22" x14ac:dyDescent="0.15">
      <c r="V302" s="272">
        <v>290</v>
      </c>
    </row>
    <row r="303" spans="22:22" x14ac:dyDescent="0.15">
      <c r="V303" s="272">
        <v>291</v>
      </c>
    </row>
    <row r="304" spans="22:22" x14ac:dyDescent="0.15">
      <c r="V304" s="272">
        <v>292</v>
      </c>
    </row>
    <row r="305" spans="22:22" x14ac:dyDescent="0.15">
      <c r="V305" s="272">
        <v>293</v>
      </c>
    </row>
    <row r="306" spans="22:22" x14ac:dyDescent="0.15">
      <c r="V306" s="272">
        <v>294</v>
      </c>
    </row>
    <row r="307" spans="22:22" x14ac:dyDescent="0.15">
      <c r="V307" s="272">
        <v>295</v>
      </c>
    </row>
    <row r="308" spans="22:22" x14ac:dyDescent="0.15">
      <c r="V308" s="272">
        <v>296</v>
      </c>
    </row>
    <row r="309" spans="22:22" x14ac:dyDescent="0.15">
      <c r="V309" s="272">
        <v>297</v>
      </c>
    </row>
    <row r="310" spans="22:22" x14ac:dyDescent="0.15">
      <c r="V310" s="272">
        <v>298</v>
      </c>
    </row>
    <row r="311" spans="22:22" x14ac:dyDescent="0.15">
      <c r="V311" s="272">
        <v>299</v>
      </c>
    </row>
    <row r="312" spans="22:22" x14ac:dyDescent="0.15">
      <c r="V312" s="272">
        <v>300</v>
      </c>
    </row>
    <row r="313" spans="22:22" x14ac:dyDescent="0.15">
      <c r="V313" s="272">
        <v>301</v>
      </c>
    </row>
    <row r="314" spans="22:22" x14ac:dyDescent="0.15">
      <c r="V314" s="272">
        <v>302</v>
      </c>
    </row>
    <row r="315" spans="22:22" x14ac:dyDescent="0.15">
      <c r="V315" s="272">
        <v>303</v>
      </c>
    </row>
    <row r="316" spans="22:22" x14ac:dyDescent="0.15">
      <c r="V316" s="272">
        <v>304</v>
      </c>
    </row>
    <row r="317" spans="22:22" x14ac:dyDescent="0.15">
      <c r="V317" s="272">
        <v>305</v>
      </c>
    </row>
    <row r="318" spans="22:22" x14ac:dyDescent="0.15">
      <c r="V318" s="272">
        <v>306</v>
      </c>
    </row>
    <row r="319" spans="22:22" x14ac:dyDescent="0.15">
      <c r="V319" s="272">
        <v>307</v>
      </c>
    </row>
    <row r="320" spans="22:22" x14ac:dyDescent="0.15">
      <c r="V320" s="272">
        <v>308</v>
      </c>
    </row>
    <row r="321" spans="22:22" x14ac:dyDescent="0.15">
      <c r="V321" s="272">
        <v>309</v>
      </c>
    </row>
    <row r="322" spans="22:22" x14ac:dyDescent="0.15">
      <c r="V322" s="272">
        <v>310</v>
      </c>
    </row>
    <row r="323" spans="22:22" x14ac:dyDescent="0.15">
      <c r="V323" s="272">
        <v>311</v>
      </c>
    </row>
    <row r="324" spans="22:22" x14ac:dyDescent="0.15">
      <c r="V324" s="272">
        <v>312</v>
      </c>
    </row>
    <row r="325" spans="22:22" x14ac:dyDescent="0.15">
      <c r="V325" s="272">
        <v>313</v>
      </c>
    </row>
    <row r="326" spans="22:22" x14ac:dyDescent="0.15">
      <c r="V326" s="272">
        <v>314</v>
      </c>
    </row>
    <row r="327" spans="22:22" x14ac:dyDescent="0.15">
      <c r="V327" s="272">
        <v>315</v>
      </c>
    </row>
    <row r="328" spans="22:22" x14ac:dyDescent="0.15">
      <c r="V328" s="272">
        <v>316</v>
      </c>
    </row>
    <row r="329" spans="22:22" x14ac:dyDescent="0.15">
      <c r="V329" s="272">
        <v>317</v>
      </c>
    </row>
    <row r="330" spans="22:22" x14ac:dyDescent="0.15">
      <c r="V330" s="272">
        <v>318</v>
      </c>
    </row>
    <row r="331" spans="22:22" x14ac:dyDescent="0.15">
      <c r="V331" s="272">
        <v>319</v>
      </c>
    </row>
    <row r="332" spans="22:22" x14ac:dyDescent="0.15">
      <c r="V332" s="272">
        <v>320</v>
      </c>
    </row>
    <row r="333" spans="22:22" x14ac:dyDescent="0.15">
      <c r="V333" s="272">
        <v>321</v>
      </c>
    </row>
    <row r="334" spans="22:22" x14ac:dyDescent="0.15">
      <c r="V334" s="272">
        <v>322</v>
      </c>
    </row>
    <row r="335" spans="22:22" x14ac:dyDescent="0.15">
      <c r="V335" s="272">
        <v>323</v>
      </c>
    </row>
    <row r="336" spans="22:22" x14ac:dyDescent="0.15">
      <c r="V336" s="272">
        <v>324</v>
      </c>
    </row>
    <row r="337" spans="22:22" x14ac:dyDescent="0.15">
      <c r="V337" s="272">
        <v>325</v>
      </c>
    </row>
    <row r="338" spans="22:22" x14ac:dyDescent="0.15">
      <c r="V338" s="272">
        <v>326</v>
      </c>
    </row>
    <row r="339" spans="22:22" x14ac:dyDescent="0.15">
      <c r="V339" s="272">
        <v>327</v>
      </c>
    </row>
    <row r="340" spans="22:22" x14ac:dyDescent="0.15">
      <c r="V340" s="272">
        <v>328</v>
      </c>
    </row>
    <row r="341" spans="22:22" x14ac:dyDescent="0.15">
      <c r="V341" s="272">
        <v>329</v>
      </c>
    </row>
    <row r="342" spans="22:22" x14ac:dyDescent="0.15">
      <c r="V342" s="272">
        <v>330</v>
      </c>
    </row>
    <row r="343" spans="22:22" x14ac:dyDescent="0.15">
      <c r="V343" s="272">
        <v>331</v>
      </c>
    </row>
    <row r="344" spans="22:22" x14ac:dyDescent="0.15">
      <c r="V344" s="272">
        <v>332</v>
      </c>
    </row>
    <row r="345" spans="22:22" x14ac:dyDescent="0.15">
      <c r="V345" s="272">
        <v>333</v>
      </c>
    </row>
    <row r="346" spans="22:22" x14ac:dyDescent="0.15">
      <c r="V346" s="272">
        <v>334</v>
      </c>
    </row>
    <row r="347" spans="22:22" x14ac:dyDescent="0.15">
      <c r="V347" s="272">
        <v>335</v>
      </c>
    </row>
    <row r="348" spans="22:22" x14ac:dyDescent="0.15">
      <c r="V348" s="272">
        <v>336</v>
      </c>
    </row>
    <row r="349" spans="22:22" x14ac:dyDescent="0.15">
      <c r="V349" s="272">
        <v>337</v>
      </c>
    </row>
    <row r="350" spans="22:22" x14ac:dyDescent="0.15">
      <c r="V350" s="272">
        <v>338</v>
      </c>
    </row>
    <row r="351" spans="22:22" x14ac:dyDescent="0.15">
      <c r="V351" s="272">
        <v>339</v>
      </c>
    </row>
    <row r="352" spans="22:22" x14ac:dyDescent="0.15">
      <c r="V352" s="272">
        <v>340</v>
      </c>
    </row>
    <row r="353" spans="22:22" x14ac:dyDescent="0.15">
      <c r="V353" s="272">
        <v>341</v>
      </c>
    </row>
    <row r="354" spans="22:22" x14ac:dyDescent="0.15">
      <c r="V354" s="272">
        <v>342</v>
      </c>
    </row>
    <row r="355" spans="22:22" x14ac:dyDescent="0.15">
      <c r="V355" s="272">
        <v>343</v>
      </c>
    </row>
    <row r="356" spans="22:22" x14ac:dyDescent="0.15">
      <c r="V356" s="272">
        <v>344</v>
      </c>
    </row>
    <row r="357" spans="22:22" x14ac:dyDescent="0.15">
      <c r="V357" s="272">
        <v>345</v>
      </c>
    </row>
    <row r="358" spans="22:22" x14ac:dyDescent="0.15">
      <c r="V358" s="272">
        <v>346</v>
      </c>
    </row>
    <row r="359" spans="22:22" x14ac:dyDescent="0.15">
      <c r="V359" s="272">
        <v>347</v>
      </c>
    </row>
    <row r="360" spans="22:22" x14ac:dyDescent="0.15">
      <c r="V360" s="272">
        <v>348</v>
      </c>
    </row>
    <row r="361" spans="22:22" x14ac:dyDescent="0.15">
      <c r="V361" s="272">
        <v>349</v>
      </c>
    </row>
    <row r="362" spans="22:22" x14ac:dyDescent="0.15">
      <c r="V362" s="272">
        <v>350</v>
      </c>
    </row>
    <row r="363" spans="22:22" x14ac:dyDescent="0.15">
      <c r="V363" s="272">
        <v>351</v>
      </c>
    </row>
    <row r="364" spans="22:22" x14ac:dyDescent="0.15">
      <c r="V364" s="272">
        <v>352</v>
      </c>
    </row>
    <row r="365" spans="22:22" x14ac:dyDescent="0.15">
      <c r="V365" s="272">
        <v>353</v>
      </c>
    </row>
    <row r="366" spans="22:22" x14ac:dyDescent="0.15">
      <c r="V366" s="272">
        <v>354</v>
      </c>
    </row>
    <row r="367" spans="22:22" x14ac:dyDescent="0.15">
      <c r="V367" s="272">
        <v>355</v>
      </c>
    </row>
    <row r="368" spans="22:22" x14ac:dyDescent="0.15">
      <c r="V368" s="272">
        <v>356</v>
      </c>
    </row>
    <row r="369" spans="22:22" x14ac:dyDescent="0.15">
      <c r="V369" s="272">
        <v>357</v>
      </c>
    </row>
    <row r="370" spans="22:22" x14ac:dyDescent="0.15">
      <c r="V370" s="272">
        <v>358</v>
      </c>
    </row>
    <row r="371" spans="22:22" x14ac:dyDescent="0.15">
      <c r="V371" s="272">
        <v>359</v>
      </c>
    </row>
    <row r="372" spans="22:22" x14ac:dyDescent="0.15">
      <c r="V372" s="272">
        <v>360</v>
      </c>
    </row>
    <row r="373" spans="22:22" x14ac:dyDescent="0.15">
      <c r="V373" s="272">
        <v>361</v>
      </c>
    </row>
    <row r="374" spans="22:22" x14ac:dyDescent="0.15">
      <c r="V374" s="272">
        <v>362</v>
      </c>
    </row>
    <row r="375" spans="22:22" x14ac:dyDescent="0.15">
      <c r="V375" s="272">
        <v>363</v>
      </c>
    </row>
    <row r="376" spans="22:22" x14ac:dyDescent="0.15">
      <c r="V376" s="272">
        <v>364</v>
      </c>
    </row>
    <row r="377" spans="22:22" x14ac:dyDescent="0.15">
      <c r="V377" s="272">
        <v>365</v>
      </c>
    </row>
    <row r="378" spans="22:22" x14ac:dyDescent="0.15">
      <c r="V378" s="272">
        <v>366</v>
      </c>
    </row>
    <row r="379" spans="22:22" x14ac:dyDescent="0.15">
      <c r="V379" s="272">
        <v>367</v>
      </c>
    </row>
    <row r="380" spans="22:22" x14ac:dyDescent="0.15">
      <c r="V380" s="272">
        <v>368</v>
      </c>
    </row>
    <row r="381" spans="22:22" x14ac:dyDescent="0.15">
      <c r="V381" s="272">
        <v>369</v>
      </c>
    </row>
    <row r="382" spans="22:22" x14ac:dyDescent="0.15">
      <c r="V382" s="272">
        <v>370</v>
      </c>
    </row>
    <row r="383" spans="22:22" x14ac:dyDescent="0.15">
      <c r="V383" s="272">
        <v>371</v>
      </c>
    </row>
    <row r="384" spans="22:22" x14ac:dyDescent="0.15">
      <c r="V384" s="272">
        <v>372</v>
      </c>
    </row>
    <row r="385" spans="22:22" x14ac:dyDescent="0.15">
      <c r="V385" s="272">
        <v>373</v>
      </c>
    </row>
    <row r="386" spans="22:22" x14ac:dyDescent="0.15">
      <c r="V386" s="272">
        <v>374</v>
      </c>
    </row>
    <row r="387" spans="22:22" x14ac:dyDescent="0.15">
      <c r="V387" s="272">
        <v>375</v>
      </c>
    </row>
    <row r="388" spans="22:22" x14ac:dyDescent="0.15">
      <c r="V388" s="272">
        <v>376</v>
      </c>
    </row>
    <row r="389" spans="22:22" x14ac:dyDescent="0.15">
      <c r="V389" s="272">
        <v>377</v>
      </c>
    </row>
    <row r="390" spans="22:22" x14ac:dyDescent="0.15">
      <c r="V390" s="272">
        <v>378</v>
      </c>
    </row>
    <row r="391" spans="22:22" x14ac:dyDescent="0.15">
      <c r="V391" s="272">
        <v>379</v>
      </c>
    </row>
    <row r="392" spans="22:22" x14ac:dyDescent="0.15">
      <c r="V392" s="272">
        <v>380</v>
      </c>
    </row>
    <row r="393" spans="22:22" x14ac:dyDescent="0.15">
      <c r="V393" s="272">
        <v>381</v>
      </c>
    </row>
    <row r="394" spans="22:22" x14ac:dyDescent="0.15">
      <c r="V394" s="272">
        <v>382</v>
      </c>
    </row>
    <row r="395" spans="22:22" x14ac:dyDescent="0.15">
      <c r="V395" s="272">
        <v>383</v>
      </c>
    </row>
    <row r="396" spans="22:22" x14ac:dyDescent="0.15">
      <c r="V396" s="272">
        <v>384</v>
      </c>
    </row>
    <row r="397" spans="22:22" x14ac:dyDescent="0.15">
      <c r="V397" s="272">
        <v>385</v>
      </c>
    </row>
    <row r="398" spans="22:22" x14ac:dyDescent="0.15">
      <c r="V398" s="272">
        <v>386</v>
      </c>
    </row>
    <row r="399" spans="22:22" x14ac:dyDescent="0.15">
      <c r="V399" s="272">
        <v>387</v>
      </c>
    </row>
    <row r="400" spans="22:22" x14ac:dyDescent="0.15">
      <c r="V400" s="272">
        <v>388</v>
      </c>
    </row>
    <row r="401" spans="22:22" x14ac:dyDescent="0.15">
      <c r="V401" s="272">
        <v>389</v>
      </c>
    </row>
    <row r="402" spans="22:22" x14ac:dyDescent="0.15">
      <c r="V402" s="272">
        <v>390</v>
      </c>
    </row>
    <row r="403" spans="22:22" x14ac:dyDescent="0.15">
      <c r="V403" s="272">
        <v>391</v>
      </c>
    </row>
    <row r="404" spans="22:22" x14ac:dyDescent="0.15">
      <c r="V404" s="272">
        <v>392</v>
      </c>
    </row>
    <row r="405" spans="22:22" x14ac:dyDescent="0.15">
      <c r="V405" s="272">
        <v>393</v>
      </c>
    </row>
    <row r="406" spans="22:22" x14ac:dyDescent="0.15">
      <c r="V406" s="272">
        <v>394</v>
      </c>
    </row>
    <row r="407" spans="22:22" x14ac:dyDescent="0.15">
      <c r="V407" s="272">
        <v>395</v>
      </c>
    </row>
    <row r="408" spans="22:22" x14ac:dyDescent="0.15">
      <c r="V408" s="272">
        <v>396</v>
      </c>
    </row>
    <row r="409" spans="22:22" x14ac:dyDescent="0.15">
      <c r="V409" s="272">
        <v>397</v>
      </c>
    </row>
    <row r="410" spans="22:22" x14ac:dyDescent="0.15">
      <c r="V410" s="272">
        <v>398</v>
      </c>
    </row>
    <row r="411" spans="22:22" x14ac:dyDescent="0.15">
      <c r="V411" s="272">
        <v>399</v>
      </c>
    </row>
    <row r="412" spans="22:22" x14ac:dyDescent="0.15">
      <c r="V412" s="272">
        <v>400</v>
      </c>
    </row>
    <row r="413" spans="22:22" x14ac:dyDescent="0.15">
      <c r="V413" s="272">
        <v>401</v>
      </c>
    </row>
    <row r="414" spans="22:22" x14ac:dyDescent="0.15">
      <c r="V414" s="272">
        <v>402</v>
      </c>
    </row>
    <row r="415" spans="22:22" x14ac:dyDescent="0.15">
      <c r="V415" s="272">
        <v>403</v>
      </c>
    </row>
    <row r="416" spans="22:22" x14ac:dyDescent="0.15">
      <c r="V416" s="272">
        <v>404</v>
      </c>
    </row>
    <row r="417" spans="22:22" x14ac:dyDescent="0.15">
      <c r="V417" s="272">
        <v>405</v>
      </c>
    </row>
    <row r="418" spans="22:22" x14ac:dyDescent="0.15">
      <c r="V418" s="272">
        <v>406</v>
      </c>
    </row>
    <row r="419" spans="22:22" x14ac:dyDescent="0.15">
      <c r="V419" s="272">
        <v>407</v>
      </c>
    </row>
    <row r="420" spans="22:22" x14ac:dyDescent="0.15">
      <c r="V420" s="272">
        <v>408</v>
      </c>
    </row>
    <row r="421" spans="22:22" x14ac:dyDescent="0.15">
      <c r="V421" s="272">
        <v>409</v>
      </c>
    </row>
    <row r="422" spans="22:22" x14ac:dyDescent="0.15">
      <c r="V422" s="272">
        <v>410</v>
      </c>
    </row>
    <row r="423" spans="22:22" x14ac:dyDescent="0.15">
      <c r="V423" s="272">
        <v>411</v>
      </c>
    </row>
    <row r="424" spans="22:22" x14ac:dyDescent="0.15">
      <c r="V424" s="272">
        <v>412</v>
      </c>
    </row>
    <row r="425" spans="22:22" x14ac:dyDescent="0.15">
      <c r="V425" s="272">
        <v>413</v>
      </c>
    </row>
    <row r="426" spans="22:22" x14ac:dyDescent="0.15">
      <c r="V426" s="272">
        <v>414</v>
      </c>
    </row>
    <row r="427" spans="22:22" x14ac:dyDescent="0.15">
      <c r="V427" s="272">
        <v>415</v>
      </c>
    </row>
    <row r="428" spans="22:22" x14ac:dyDescent="0.15">
      <c r="V428" s="272">
        <v>416</v>
      </c>
    </row>
    <row r="429" spans="22:22" x14ac:dyDescent="0.15">
      <c r="V429" s="272">
        <v>417</v>
      </c>
    </row>
    <row r="430" spans="22:22" x14ac:dyDescent="0.15">
      <c r="V430" s="272">
        <v>418</v>
      </c>
    </row>
    <row r="431" spans="22:22" x14ac:dyDescent="0.15">
      <c r="V431" s="272">
        <v>419</v>
      </c>
    </row>
    <row r="432" spans="22:22" x14ac:dyDescent="0.15">
      <c r="V432" s="272">
        <v>420</v>
      </c>
    </row>
    <row r="433" spans="22:22" x14ac:dyDescent="0.15">
      <c r="V433" s="272">
        <v>421</v>
      </c>
    </row>
    <row r="434" spans="22:22" x14ac:dyDescent="0.15">
      <c r="V434" s="272">
        <v>422</v>
      </c>
    </row>
    <row r="435" spans="22:22" x14ac:dyDescent="0.15">
      <c r="V435" s="272">
        <v>423</v>
      </c>
    </row>
    <row r="436" spans="22:22" x14ac:dyDescent="0.15">
      <c r="V436" s="272">
        <v>424</v>
      </c>
    </row>
    <row r="437" spans="22:22" x14ac:dyDescent="0.15">
      <c r="V437" s="272">
        <v>425</v>
      </c>
    </row>
    <row r="438" spans="22:22" x14ac:dyDescent="0.15">
      <c r="V438" s="272">
        <v>426</v>
      </c>
    </row>
    <row r="439" spans="22:22" x14ac:dyDescent="0.15">
      <c r="V439" s="272">
        <v>427</v>
      </c>
    </row>
    <row r="440" spans="22:22" x14ac:dyDescent="0.15">
      <c r="V440" s="272">
        <v>428</v>
      </c>
    </row>
    <row r="441" spans="22:22" x14ac:dyDescent="0.15">
      <c r="V441" s="272">
        <v>429</v>
      </c>
    </row>
    <row r="442" spans="22:22" x14ac:dyDescent="0.15">
      <c r="V442" s="272">
        <v>430</v>
      </c>
    </row>
    <row r="443" spans="22:22" x14ac:dyDescent="0.15">
      <c r="V443" s="272">
        <v>431</v>
      </c>
    </row>
    <row r="444" spans="22:22" x14ac:dyDescent="0.15">
      <c r="V444" s="272">
        <v>432</v>
      </c>
    </row>
    <row r="445" spans="22:22" x14ac:dyDescent="0.15">
      <c r="V445" s="272">
        <v>433</v>
      </c>
    </row>
    <row r="446" spans="22:22" x14ac:dyDescent="0.15">
      <c r="V446" s="272">
        <v>434</v>
      </c>
    </row>
    <row r="447" spans="22:22" x14ac:dyDescent="0.15">
      <c r="V447" s="272">
        <v>435</v>
      </c>
    </row>
    <row r="448" spans="22:22" x14ac:dyDescent="0.15">
      <c r="V448" s="272">
        <v>436</v>
      </c>
    </row>
    <row r="449" spans="22:22" x14ac:dyDescent="0.15">
      <c r="V449" s="272">
        <v>437</v>
      </c>
    </row>
    <row r="450" spans="22:22" x14ac:dyDescent="0.15">
      <c r="V450" s="272">
        <v>438</v>
      </c>
    </row>
    <row r="451" spans="22:22" x14ac:dyDescent="0.15">
      <c r="V451" s="272">
        <v>439</v>
      </c>
    </row>
    <row r="452" spans="22:22" x14ac:dyDescent="0.15">
      <c r="V452" s="272">
        <v>440</v>
      </c>
    </row>
    <row r="453" spans="22:22" x14ac:dyDescent="0.15">
      <c r="V453" s="272">
        <v>441</v>
      </c>
    </row>
    <row r="454" spans="22:22" x14ac:dyDescent="0.15">
      <c r="V454" s="272">
        <v>442</v>
      </c>
    </row>
    <row r="455" spans="22:22" x14ac:dyDescent="0.15">
      <c r="V455" s="272">
        <v>443</v>
      </c>
    </row>
    <row r="456" spans="22:22" x14ac:dyDescent="0.15">
      <c r="V456" s="272">
        <v>444</v>
      </c>
    </row>
    <row r="457" spans="22:22" x14ac:dyDescent="0.15">
      <c r="V457" s="272">
        <v>445</v>
      </c>
    </row>
    <row r="458" spans="22:22" x14ac:dyDescent="0.15">
      <c r="V458" s="272">
        <v>446</v>
      </c>
    </row>
    <row r="459" spans="22:22" x14ac:dyDescent="0.15">
      <c r="V459" s="272">
        <v>447</v>
      </c>
    </row>
    <row r="460" spans="22:22" x14ac:dyDescent="0.15">
      <c r="V460" s="272">
        <v>448</v>
      </c>
    </row>
    <row r="461" spans="22:22" x14ac:dyDescent="0.15">
      <c r="V461" s="272">
        <v>449</v>
      </c>
    </row>
    <row r="462" spans="22:22" x14ac:dyDescent="0.15">
      <c r="V462" s="272">
        <v>450</v>
      </c>
    </row>
    <row r="463" spans="22:22" x14ac:dyDescent="0.15">
      <c r="V463" s="272">
        <v>451</v>
      </c>
    </row>
    <row r="464" spans="22:22" x14ac:dyDescent="0.15">
      <c r="V464" s="272">
        <v>452</v>
      </c>
    </row>
    <row r="465" spans="22:22" x14ac:dyDescent="0.15">
      <c r="V465" s="272">
        <v>453</v>
      </c>
    </row>
    <row r="466" spans="22:22" x14ac:dyDescent="0.15">
      <c r="V466" s="272">
        <v>454</v>
      </c>
    </row>
    <row r="467" spans="22:22" x14ac:dyDescent="0.15">
      <c r="V467" s="272">
        <v>455</v>
      </c>
    </row>
    <row r="468" spans="22:22" x14ac:dyDescent="0.15">
      <c r="V468" s="272">
        <v>456</v>
      </c>
    </row>
    <row r="469" spans="22:22" x14ac:dyDescent="0.15">
      <c r="V469" s="272">
        <v>457</v>
      </c>
    </row>
    <row r="470" spans="22:22" x14ac:dyDescent="0.15">
      <c r="V470" s="272">
        <v>458</v>
      </c>
    </row>
    <row r="471" spans="22:22" x14ac:dyDescent="0.15">
      <c r="V471" s="272">
        <v>459</v>
      </c>
    </row>
    <row r="472" spans="22:22" x14ac:dyDescent="0.15">
      <c r="V472" s="272">
        <v>460</v>
      </c>
    </row>
    <row r="473" spans="22:22" x14ac:dyDescent="0.15">
      <c r="V473" s="272">
        <v>461</v>
      </c>
    </row>
    <row r="474" spans="22:22" x14ac:dyDescent="0.15">
      <c r="V474" s="272">
        <v>462</v>
      </c>
    </row>
    <row r="475" spans="22:22" x14ac:dyDescent="0.15">
      <c r="V475" s="272">
        <v>463</v>
      </c>
    </row>
    <row r="476" spans="22:22" x14ac:dyDescent="0.15">
      <c r="V476" s="272">
        <v>464</v>
      </c>
    </row>
    <row r="477" spans="22:22" x14ac:dyDescent="0.15">
      <c r="V477" s="272">
        <v>465</v>
      </c>
    </row>
    <row r="478" spans="22:22" x14ac:dyDescent="0.15">
      <c r="V478" s="272">
        <v>466</v>
      </c>
    </row>
    <row r="479" spans="22:22" x14ac:dyDescent="0.15">
      <c r="V479" s="272">
        <v>467</v>
      </c>
    </row>
    <row r="480" spans="22:22" x14ac:dyDescent="0.15">
      <c r="V480" s="272">
        <v>468</v>
      </c>
    </row>
    <row r="481" spans="22:22" x14ac:dyDescent="0.15">
      <c r="V481" s="272">
        <v>469</v>
      </c>
    </row>
    <row r="482" spans="22:22" x14ac:dyDescent="0.15">
      <c r="V482" s="272">
        <v>470</v>
      </c>
    </row>
    <row r="483" spans="22:22" x14ac:dyDescent="0.15">
      <c r="V483" s="272">
        <v>471</v>
      </c>
    </row>
    <row r="484" spans="22:22" x14ac:dyDescent="0.15">
      <c r="V484" s="272">
        <v>472</v>
      </c>
    </row>
    <row r="485" spans="22:22" x14ac:dyDescent="0.15">
      <c r="V485" s="272">
        <v>473</v>
      </c>
    </row>
    <row r="486" spans="22:22" x14ac:dyDescent="0.15">
      <c r="V486" s="272">
        <v>474</v>
      </c>
    </row>
    <row r="487" spans="22:22" x14ac:dyDescent="0.15">
      <c r="V487" s="272">
        <v>475</v>
      </c>
    </row>
    <row r="488" spans="22:22" x14ac:dyDescent="0.15">
      <c r="V488" s="272">
        <v>476</v>
      </c>
    </row>
    <row r="489" spans="22:22" x14ac:dyDescent="0.15">
      <c r="V489" s="272">
        <v>477</v>
      </c>
    </row>
    <row r="490" spans="22:22" x14ac:dyDescent="0.15">
      <c r="V490" s="272">
        <v>478</v>
      </c>
    </row>
    <row r="491" spans="22:22" x14ac:dyDescent="0.15">
      <c r="V491" s="272">
        <v>479</v>
      </c>
    </row>
    <row r="492" spans="22:22" x14ac:dyDescent="0.15">
      <c r="V492" s="272">
        <v>480</v>
      </c>
    </row>
    <row r="493" spans="22:22" x14ac:dyDescent="0.15">
      <c r="V493" s="272">
        <v>481</v>
      </c>
    </row>
    <row r="494" spans="22:22" x14ac:dyDescent="0.15">
      <c r="V494" s="272">
        <v>482</v>
      </c>
    </row>
    <row r="495" spans="22:22" x14ac:dyDescent="0.15">
      <c r="V495" s="272">
        <v>483</v>
      </c>
    </row>
    <row r="496" spans="22:22" x14ac:dyDescent="0.15">
      <c r="V496" s="272">
        <v>484</v>
      </c>
    </row>
    <row r="497" spans="22:22" x14ac:dyDescent="0.15">
      <c r="V497" s="272">
        <v>485</v>
      </c>
    </row>
    <row r="498" spans="22:22" x14ac:dyDescent="0.15">
      <c r="V498" s="272">
        <v>486</v>
      </c>
    </row>
    <row r="499" spans="22:22" x14ac:dyDescent="0.15">
      <c r="V499" s="272">
        <v>487</v>
      </c>
    </row>
    <row r="500" spans="22:22" x14ac:dyDescent="0.15">
      <c r="V500" s="272">
        <v>488</v>
      </c>
    </row>
    <row r="501" spans="22:22" x14ac:dyDescent="0.15">
      <c r="V501" s="272">
        <v>489</v>
      </c>
    </row>
    <row r="502" spans="22:22" x14ac:dyDescent="0.15">
      <c r="V502" s="272">
        <v>490</v>
      </c>
    </row>
    <row r="503" spans="22:22" x14ac:dyDescent="0.15">
      <c r="V503" s="272">
        <v>491</v>
      </c>
    </row>
    <row r="504" spans="22:22" x14ac:dyDescent="0.15">
      <c r="V504" s="272">
        <v>492</v>
      </c>
    </row>
    <row r="505" spans="22:22" x14ac:dyDescent="0.15">
      <c r="V505" s="272">
        <v>493</v>
      </c>
    </row>
    <row r="506" spans="22:22" x14ac:dyDescent="0.15">
      <c r="V506" s="272">
        <v>494</v>
      </c>
    </row>
    <row r="507" spans="22:22" x14ac:dyDescent="0.15">
      <c r="V507" s="272">
        <v>495</v>
      </c>
    </row>
    <row r="508" spans="22:22" x14ac:dyDescent="0.15">
      <c r="V508" s="272">
        <v>496</v>
      </c>
    </row>
    <row r="509" spans="22:22" x14ac:dyDescent="0.15">
      <c r="V509" s="272">
        <v>497</v>
      </c>
    </row>
    <row r="510" spans="22:22" x14ac:dyDescent="0.15">
      <c r="V510" s="272">
        <v>498</v>
      </c>
    </row>
    <row r="511" spans="22:22" x14ac:dyDescent="0.15">
      <c r="V511" s="272">
        <v>499</v>
      </c>
    </row>
    <row r="512" spans="22:22" x14ac:dyDescent="0.15">
      <c r="V512" s="272">
        <v>500</v>
      </c>
    </row>
    <row r="513" spans="22:22" x14ac:dyDescent="0.15">
      <c r="V513" s="272">
        <v>501</v>
      </c>
    </row>
    <row r="514" spans="22:22" x14ac:dyDescent="0.15">
      <c r="V514" s="272">
        <v>502</v>
      </c>
    </row>
    <row r="515" spans="22:22" x14ac:dyDescent="0.15">
      <c r="V515" s="272">
        <v>503</v>
      </c>
    </row>
    <row r="516" spans="22:22" x14ac:dyDescent="0.15">
      <c r="V516" s="272">
        <v>504</v>
      </c>
    </row>
    <row r="517" spans="22:22" x14ac:dyDescent="0.15">
      <c r="V517" s="272">
        <v>505</v>
      </c>
    </row>
    <row r="518" spans="22:22" x14ac:dyDescent="0.15">
      <c r="V518" s="272">
        <v>506</v>
      </c>
    </row>
    <row r="519" spans="22:22" x14ac:dyDescent="0.15">
      <c r="V519" s="272">
        <v>507</v>
      </c>
    </row>
    <row r="520" spans="22:22" x14ac:dyDescent="0.15">
      <c r="V520" s="272">
        <v>508</v>
      </c>
    </row>
    <row r="521" spans="22:22" x14ac:dyDescent="0.15">
      <c r="V521" s="272">
        <v>509</v>
      </c>
    </row>
    <row r="522" spans="22:22" x14ac:dyDescent="0.15">
      <c r="V522" s="272">
        <v>510</v>
      </c>
    </row>
    <row r="523" spans="22:22" x14ac:dyDescent="0.15">
      <c r="V523" s="272">
        <v>511</v>
      </c>
    </row>
    <row r="524" spans="22:22" x14ac:dyDescent="0.15">
      <c r="V524" s="272">
        <v>512</v>
      </c>
    </row>
    <row r="525" spans="22:22" x14ac:dyDescent="0.15">
      <c r="V525" s="272">
        <v>513</v>
      </c>
    </row>
    <row r="526" spans="22:22" x14ac:dyDescent="0.15">
      <c r="V526" s="272">
        <v>514</v>
      </c>
    </row>
    <row r="527" spans="22:22" x14ac:dyDescent="0.15">
      <c r="V527" s="272">
        <v>515</v>
      </c>
    </row>
    <row r="528" spans="22:22" x14ac:dyDescent="0.15">
      <c r="V528" s="272">
        <v>516</v>
      </c>
    </row>
    <row r="529" spans="22:22" x14ac:dyDescent="0.15">
      <c r="V529" s="272">
        <v>517</v>
      </c>
    </row>
    <row r="530" spans="22:22" x14ac:dyDescent="0.15">
      <c r="V530" s="272">
        <v>518</v>
      </c>
    </row>
    <row r="531" spans="22:22" x14ac:dyDescent="0.15">
      <c r="V531" s="272">
        <v>519</v>
      </c>
    </row>
    <row r="532" spans="22:22" x14ac:dyDescent="0.15">
      <c r="V532" s="272">
        <v>520</v>
      </c>
    </row>
    <row r="533" spans="22:22" x14ac:dyDescent="0.15">
      <c r="V533" s="272">
        <v>521</v>
      </c>
    </row>
    <row r="534" spans="22:22" x14ac:dyDescent="0.15">
      <c r="V534" s="272">
        <v>522</v>
      </c>
    </row>
    <row r="535" spans="22:22" x14ac:dyDescent="0.15">
      <c r="V535" s="272">
        <v>523</v>
      </c>
    </row>
    <row r="536" spans="22:22" x14ac:dyDescent="0.15">
      <c r="V536" s="272">
        <v>524</v>
      </c>
    </row>
    <row r="537" spans="22:22" x14ac:dyDescent="0.15">
      <c r="V537" s="272">
        <v>525</v>
      </c>
    </row>
    <row r="538" spans="22:22" x14ac:dyDescent="0.15">
      <c r="V538" s="272">
        <v>526</v>
      </c>
    </row>
    <row r="539" spans="22:22" x14ac:dyDescent="0.15">
      <c r="V539" s="272">
        <v>527</v>
      </c>
    </row>
    <row r="540" spans="22:22" x14ac:dyDescent="0.15">
      <c r="V540" s="272">
        <v>528</v>
      </c>
    </row>
    <row r="541" spans="22:22" x14ac:dyDescent="0.15">
      <c r="V541" s="272">
        <v>529</v>
      </c>
    </row>
    <row r="542" spans="22:22" x14ac:dyDescent="0.15">
      <c r="V542" s="272">
        <v>530</v>
      </c>
    </row>
    <row r="543" spans="22:22" x14ac:dyDescent="0.15">
      <c r="V543" s="272">
        <v>531</v>
      </c>
    </row>
    <row r="544" spans="22:22" x14ac:dyDescent="0.15">
      <c r="V544" s="272">
        <v>532</v>
      </c>
    </row>
    <row r="545" spans="22:22" x14ac:dyDescent="0.15">
      <c r="V545" s="272">
        <v>533</v>
      </c>
    </row>
    <row r="546" spans="22:22" x14ac:dyDescent="0.15">
      <c r="V546" s="272">
        <v>534</v>
      </c>
    </row>
    <row r="547" spans="22:22" x14ac:dyDescent="0.15">
      <c r="V547" s="272">
        <v>535</v>
      </c>
    </row>
    <row r="548" spans="22:22" x14ac:dyDescent="0.15">
      <c r="V548" s="272">
        <v>536</v>
      </c>
    </row>
    <row r="549" spans="22:22" x14ac:dyDescent="0.15">
      <c r="V549" s="272">
        <v>537</v>
      </c>
    </row>
    <row r="550" spans="22:22" x14ac:dyDescent="0.15">
      <c r="V550" s="272">
        <v>538</v>
      </c>
    </row>
    <row r="551" spans="22:22" x14ac:dyDescent="0.15">
      <c r="V551" s="272">
        <v>539</v>
      </c>
    </row>
    <row r="552" spans="22:22" x14ac:dyDescent="0.15">
      <c r="V552" s="272">
        <v>540</v>
      </c>
    </row>
    <row r="553" spans="22:22" x14ac:dyDescent="0.15">
      <c r="V553" s="272">
        <v>541</v>
      </c>
    </row>
    <row r="554" spans="22:22" x14ac:dyDescent="0.15">
      <c r="V554" s="272">
        <v>542</v>
      </c>
    </row>
    <row r="555" spans="22:22" x14ac:dyDescent="0.15">
      <c r="V555" s="272">
        <v>543</v>
      </c>
    </row>
    <row r="556" spans="22:22" x14ac:dyDescent="0.15">
      <c r="V556" s="272">
        <v>544</v>
      </c>
    </row>
    <row r="557" spans="22:22" x14ac:dyDescent="0.15">
      <c r="V557" s="272">
        <v>545</v>
      </c>
    </row>
    <row r="558" spans="22:22" x14ac:dyDescent="0.15">
      <c r="V558" s="272">
        <v>546</v>
      </c>
    </row>
    <row r="559" spans="22:22" x14ac:dyDescent="0.15">
      <c r="V559" s="272">
        <v>547</v>
      </c>
    </row>
    <row r="560" spans="22:22" x14ac:dyDescent="0.15">
      <c r="V560" s="272">
        <v>548</v>
      </c>
    </row>
    <row r="561" spans="22:22" x14ac:dyDescent="0.15">
      <c r="V561" s="272">
        <v>549</v>
      </c>
    </row>
    <row r="562" spans="22:22" x14ac:dyDescent="0.15">
      <c r="V562" s="272">
        <v>550</v>
      </c>
    </row>
    <row r="563" spans="22:22" x14ac:dyDescent="0.15">
      <c r="V563" s="272">
        <v>551</v>
      </c>
    </row>
    <row r="564" spans="22:22" x14ac:dyDescent="0.15">
      <c r="V564" s="272">
        <v>552</v>
      </c>
    </row>
    <row r="565" spans="22:22" x14ac:dyDescent="0.15">
      <c r="V565" s="272">
        <v>553</v>
      </c>
    </row>
    <row r="566" spans="22:22" x14ac:dyDescent="0.15">
      <c r="V566" s="272">
        <v>554</v>
      </c>
    </row>
    <row r="567" spans="22:22" x14ac:dyDescent="0.15">
      <c r="V567" s="272">
        <v>555</v>
      </c>
    </row>
    <row r="568" spans="22:22" x14ac:dyDescent="0.15">
      <c r="V568" s="272">
        <v>556</v>
      </c>
    </row>
    <row r="569" spans="22:22" x14ac:dyDescent="0.15">
      <c r="V569" s="272">
        <v>557</v>
      </c>
    </row>
    <row r="570" spans="22:22" x14ac:dyDescent="0.15">
      <c r="V570" s="272">
        <v>558</v>
      </c>
    </row>
    <row r="571" spans="22:22" x14ac:dyDescent="0.15">
      <c r="V571" s="272">
        <v>559</v>
      </c>
    </row>
    <row r="572" spans="22:22" x14ac:dyDescent="0.15">
      <c r="V572" s="272">
        <v>560</v>
      </c>
    </row>
    <row r="573" spans="22:22" x14ac:dyDescent="0.15">
      <c r="V573" s="272">
        <v>561</v>
      </c>
    </row>
    <row r="574" spans="22:22" x14ac:dyDescent="0.15">
      <c r="V574" s="272">
        <v>562</v>
      </c>
    </row>
    <row r="575" spans="22:22" x14ac:dyDescent="0.15">
      <c r="V575" s="272">
        <v>563</v>
      </c>
    </row>
    <row r="576" spans="22:22" x14ac:dyDescent="0.15">
      <c r="V576" s="272">
        <v>564</v>
      </c>
    </row>
    <row r="577" spans="22:22" x14ac:dyDescent="0.15">
      <c r="V577" s="272">
        <v>565</v>
      </c>
    </row>
    <row r="578" spans="22:22" x14ac:dyDescent="0.15">
      <c r="V578" s="272">
        <v>566</v>
      </c>
    </row>
    <row r="579" spans="22:22" x14ac:dyDescent="0.15">
      <c r="V579" s="272">
        <v>567</v>
      </c>
    </row>
    <row r="580" spans="22:22" x14ac:dyDescent="0.15">
      <c r="V580" s="272">
        <v>568</v>
      </c>
    </row>
    <row r="581" spans="22:22" x14ac:dyDescent="0.15">
      <c r="V581" s="272">
        <v>569</v>
      </c>
    </row>
    <row r="582" spans="22:22" x14ac:dyDescent="0.15">
      <c r="V582" s="272">
        <v>570</v>
      </c>
    </row>
    <row r="583" spans="22:22" x14ac:dyDescent="0.15">
      <c r="V583" s="272">
        <v>571</v>
      </c>
    </row>
    <row r="584" spans="22:22" x14ac:dyDescent="0.15">
      <c r="V584" s="272">
        <v>572</v>
      </c>
    </row>
    <row r="585" spans="22:22" x14ac:dyDescent="0.15">
      <c r="V585" s="272">
        <v>573</v>
      </c>
    </row>
    <row r="586" spans="22:22" x14ac:dyDescent="0.15">
      <c r="V586" s="272">
        <v>574</v>
      </c>
    </row>
    <row r="587" spans="22:22" x14ac:dyDescent="0.15">
      <c r="V587" s="272">
        <v>575</v>
      </c>
    </row>
    <row r="588" spans="22:22" x14ac:dyDescent="0.15">
      <c r="V588" s="272">
        <v>576</v>
      </c>
    </row>
    <row r="589" spans="22:22" x14ac:dyDescent="0.15">
      <c r="V589" s="272">
        <v>577</v>
      </c>
    </row>
    <row r="590" spans="22:22" x14ac:dyDescent="0.15">
      <c r="V590" s="272">
        <v>578</v>
      </c>
    </row>
    <row r="591" spans="22:22" x14ac:dyDescent="0.15">
      <c r="V591" s="272">
        <v>579</v>
      </c>
    </row>
    <row r="592" spans="22:22" x14ac:dyDescent="0.15">
      <c r="V592" s="272">
        <v>580</v>
      </c>
    </row>
    <row r="593" spans="22:22" x14ac:dyDescent="0.15">
      <c r="V593" s="272">
        <v>581</v>
      </c>
    </row>
    <row r="594" spans="22:22" x14ac:dyDescent="0.15">
      <c r="V594" s="272">
        <v>582</v>
      </c>
    </row>
    <row r="595" spans="22:22" x14ac:dyDescent="0.15">
      <c r="V595" s="272">
        <v>583</v>
      </c>
    </row>
    <row r="596" spans="22:22" x14ac:dyDescent="0.15">
      <c r="V596" s="272">
        <v>584</v>
      </c>
    </row>
    <row r="597" spans="22:22" x14ac:dyDescent="0.15">
      <c r="V597" s="272">
        <v>585</v>
      </c>
    </row>
    <row r="598" spans="22:22" x14ac:dyDescent="0.15">
      <c r="V598" s="272">
        <v>586</v>
      </c>
    </row>
    <row r="599" spans="22:22" x14ac:dyDescent="0.15">
      <c r="V599" s="272">
        <v>587</v>
      </c>
    </row>
    <row r="600" spans="22:22" x14ac:dyDescent="0.15">
      <c r="V600" s="272">
        <v>588</v>
      </c>
    </row>
    <row r="601" spans="22:22" x14ac:dyDescent="0.15">
      <c r="V601" s="272">
        <v>589</v>
      </c>
    </row>
    <row r="602" spans="22:22" x14ac:dyDescent="0.15">
      <c r="V602" s="272">
        <v>590</v>
      </c>
    </row>
    <row r="603" spans="22:22" x14ac:dyDescent="0.15">
      <c r="V603" s="272">
        <v>591</v>
      </c>
    </row>
    <row r="604" spans="22:22" x14ac:dyDescent="0.15">
      <c r="V604" s="272">
        <v>592</v>
      </c>
    </row>
    <row r="605" spans="22:22" x14ac:dyDescent="0.15">
      <c r="V605" s="272">
        <v>593</v>
      </c>
    </row>
    <row r="606" spans="22:22" x14ac:dyDescent="0.15">
      <c r="V606" s="272">
        <v>594</v>
      </c>
    </row>
    <row r="607" spans="22:22" x14ac:dyDescent="0.15">
      <c r="V607" s="272">
        <v>595</v>
      </c>
    </row>
    <row r="608" spans="22:22" x14ac:dyDescent="0.15">
      <c r="V608" s="272">
        <v>596</v>
      </c>
    </row>
    <row r="609" spans="22:22" x14ac:dyDescent="0.15">
      <c r="V609" s="272">
        <v>597</v>
      </c>
    </row>
    <row r="610" spans="22:22" x14ac:dyDescent="0.15">
      <c r="V610" s="272">
        <v>598</v>
      </c>
    </row>
    <row r="611" spans="22:22" x14ac:dyDescent="0.15">
      <c r="V611" s="272">
        <v>599</v>
      </c>
    </row>
    <row r="612" spans="22:22" x14ac:dyDescent="0.15">
      <c r="V612" s="272">
        <v>600</v>
      </c>
    </row>
    <row r="613" spans="22:22" x14ac:dyDescent="0.15">
      <c r="V613" s="272">
        <v>601</v>
      </c>
    </row>
    <row r="614" spans="22:22" x14ac:dyDescent="0.15">
      <c r="V614" s="272">
        <v>602</v>
      </c>
    </row>
    <row r="615" spans="22:22" x14ac:dyDescent="0.15">
      <c r="V615" s="272">
        <v>603</v>
      </c>
    </row>
    <row r="616" spans="22:22" x14ac:dyDescent="0.15">
      <c r="V616" s="272">
        <v>604</v>
      </c>
    </row>
    <row r="617" spans="22:22" x14ac:dyDescent="0.15">
      <c r="V617" s="272">
        <v>605</v>
      </c>
    </row>
    <row r="618" spans="22:22" x14ac:dyDescent="0.15">
      <c r="V618" s="272">
        <v>606</v>
      </c>
    </row>
    <row r="619" spans="22:22" x14ac:dyDescent="0.15">
      <c r="V619" s="272">
        <v>607</v>
      </c>
    </row>
    <row r="620" spans="22:22" x14ac:dyDescent="0.15">
      <c r="V620" s="272">
        <v>608</v>
      </c>
    </row>
    <row r="621" spans="22:22" x14ac:dyDescent="0.15">
      <c r="V621" s="272">
        <v>609</v>
      </c>
    </row>
    <row r="622" spans="22:22" x14ac:dyDescent="0.15">
      <c r="V622" s="272">
        <v>610</v>
      </c>
    </row>
    <row r="623" spans="22:22" x14ac:dyDescent="0.15">
      <c r="V623" s="272">
        <v>611</v>
      </c>
    </row>
    <row r="624" spans="22:22" x14ac:dyDescent="0.15">
      <c r="V624" s="272">
        <v>612</v>
      </c>
    </row>
    <row r="625" spans="22:22" x14ac:dyDescent="0.15">
      <c r="V625" s="272">
        <v>613</v>
      </c>
    </row>
    <row r="626" spans="22:22" x14ac:dyDescent="0.15">
      <c r="V626" s="272">
        <v>614</v>
      </c>
    </row>
    <row r="627" spans="22:22" x14ac:dyDescent="0.15">
      <c r="V627" s="272">
        <v>615</v>
      </c>
    </row>
    <row r="628" spans="22:22" x14ac:dyDescent="0.15">
      <c r="V628" s="272">
        <v>616</v>
      </c>
    </row>
    <row r="629" spans="22:22" x14ac:dyDescent="0.15">
      <c r="V629" s="272">
        <v>617</v>
      </c>
    </row>
    <row r="630" spans="22:22" x14ac:dyDescent="0.15">
      <c r="V630" s="272">
        <v>618</v>
      </c>
    </row>
    <row r="631" spans="22:22" x14ac:dyDescent="0.15">
      <c r="V631" s="272">
        <v>619</v>
      </c>
    </row>
    <row r="632" spans="22:22" x14ac:dyDescent="0.15">
      <c r="V632" s="272">
        <v>620</v>
      </c>
    </row>
    <row r="633" spans="22:22" x14ac:dyDescent="0.15">
      <c r="V633" s="272">
        <v>621</v>
      </c>
    </row>
    <row r="634" spans="22:22" x14ac:dyDescent="0.15">
      <c r="V634" s="272">
        <v>622</v>
      </c>
    </row>
    <row r="635" spans="22:22" x14ac:dyDescent="0.15">
      <c r="V635" s="272">
        <v>623</v>
      </c>
    </row>
    <row r="636" spans="22:22" x14ac:dyDescent="0.15">
      <c r="V636" s="272">
        <v>624</v>
      </c>
    </row>
    <row r="637" spans="22:22" x14ac:dyDescent="0.15">
      <c r="V637" s="272">
        <v>625</v>
      </c>
    </row>
    <row r="638" spans="22:22" x14ac:dyDescent="0.15">
      <c r="V638" s="272">
        <v>626</v>
      </c>
    </row>
    <row r="639" spans="22:22" x14ac:dyDescent="0.15">
      <c r="V639" s="272">
        <v>627</v>
      </c>
    </row>
    <row r="640" spans="22:22" x14ac:dyDescent="0.15">
      <c r="V640" s="272">
        <v>628</v>
      </c>
    </row>
    <row r="641" spans="22:22" x14ac:dyDescent="0.15">
      <c r="V641" s="272">
        <v>629</v>
      </c>
    </row>
    <row r="642" spans="22:22" x14ac:dyDescent="0.15">
      <c r="V642" s="272">
        <v>630</v>
      </c>
    </row>
    <row r="643" spans="22:22" x14ac:dyDescent="0.15">
      <c r="V643" s="272">
        <v>631</v>
      </c>
    </row>
    <row r="644" spans="22:22" x14ac:dyDescent="0.15">
      <c r="V644" s="272">
        <v>632</v>
      </c>
    </row>
    <row r="645" spans="22:22" x14ac:dyDescent="0.15">
      <c r="V645" s="272">
        <v>633</v>
      </c>
    </row>
    <row r="646" spans="22:22" x14ac:dyDescent="0.15">
      <c r="V646" s="272">
        <v>634</v>
      </c>
    </row>
    <row r="647" spans="22:22" x14ac:dyDescent="0.15">
      <c r="V647" s="272">
        <v>635</v>
      </c>
    </row>
    <row r="648" spans="22:22" x14ac:dyDescent="0.15">
      <c r="V648" s="272">
        <v>636</v>
      </c>
    </row>
    <row r="649" spans="22:22" x14ac:dyDescent="0.15">
      <c r="V649" s="272">
        <v>637</v>
      </c>
    </row>
    <row r="650" spans="22:22" x14ac:dyDescent="0.15">
      <c r="V650" s="272">
        <v>638</v>
      </c>
    </row>
    <row r="651" spans="22:22" x14ac:dyDescent="0.15">
      <c r="V651" s="272">
        <v>639</v>
      </c>
    </row>
    <row r="652" spans="22:22" x14ac:dyDescent="0.15">
      <c r="V652" s="272">
        <v>640</v>
      </c>
    </row>
    <row r="653" spans="22:22" x14ac:dyDescent="0.15">
      <c r="V653" s="272">
        <v>641</v>
      </c>
    </row>
    <row r="654" spans="22:22" x14ac:dyDescent="0.15">
      <c r="V654" s="272">
        <v>642</v>
      </c>
    </row>
    <row r="655" spans="22:22" x14ac:dyDescent="0.15">
      <c r="V655" s="272">
        <v>643</v>
      </c>
    </row>
    <row r="656" spans="22:22" x14ac:dyDescent="0.15">
      <c r="V656" s="272">
        <v>644</v>
      </c>
    </row>
    <row r="657" spans="22:22" x14ac:dyDescent="0.15">
      <c r="V657" s="272">
        <v>645</v>
      </c>
    </row>
    <row r="658" spans="22:22" x14ac:dyDescent="0.15">
      <c r="V658" s="272">
        <v>646</v>
      </c>
    </row>
    <row r="659" spans="22:22" x14ac:dyDescent="0.15">
      <c r="V659" s="272">
        <v>647</v>
      </c>
    </row>
    <row r="660" spans="22:22" x14ac:dyDescent="0.15">
      <c r="V660" s="272">
        <v>648</v>
      </c>
    </row>
    <row r="661" spans="22:22" x14ac:dyDescent="0.15">
      <c r="V661" s="272">
        <v>649</v>
      </c>
    </row>
    <row r="662" spans="22:22" x14ac:dyDescent="0.15">
      <c r="V662" s="272">
        <v>650</v>
      </c>
    </row>
    <row r="663" spans="22:22" x14ac:dyDescent="0.15">
      <c r="V663" s="272">
        <v>651</v>
      </c>
    </row>
    <row r="664" spans="22:22" x14ac:dyDescent="0.15">
      <c r="V664" s="272">
        <v>652</v>
      </c>
    </row>
    <row r="665" spans="22:22" x14ac:dyDescent="0.15">
      <c r="V665" s="272">
        <v>653</v>
      </c>
    </row>
    <row r="666" spans="22:22" x14ac:dyDescent="0.15">
      <c r="V666" s="272">
        <v>654</v>
      </c>
    </row>
    <row r="667" spans="22:22" x14ac:dyDescent="0.15">
      <c r="V667" s="272">
        <v>655</v>
      </c>
    </row>
    <row r="668" spans="22:22" x14ac:dyDescent="0.15">
      <c r="V668" s="272">
        <v>656</v>
      </c>
    </row>
    <row r="669" spans="22:22" x14ac:dyDescent="0.15">
      <c r="V669" s="272">
        <v>657</v>
      </c>
    </row>
    <row r="670" spans="22:22" x14ac:dyDescent="0.15">
      <c r="V670" s="272">
        <v>658</v>
      </c>
    </row>
    <row r="671" spans="22:22" x14ac:dyDescent="0.15">
      <c r="V671" s="272">
        <v>659</v>
      </c>
    </row>
    <row r="672" spans="22:22" x14ac:dyDescent="0.15">
      <c r="V672" s="272">
        <v>660</v>
      </c>
    </row>
    <row r="673" spans="22:22" x14ac:dyDescent="0.15">
      <c r="V673" s="272">
        <v>661</v>
      </c>
    </row>
    <row r="674" spans="22:22" x14ac:dyDescent="0.15">
      <c r="V674" s="272">
        <v>662</v>
      </c>
    </row>
    <row r="675" spans="22:22" x14ac:dyDescent="0.15">
      <c r="V675" s="272">
        <v>663</v>
      </c>
    </row>
    <row r="676" spans="22:22" x14ac:dyDescent="0.15">
      <c r="V676" s="272">
        <v>664</v>
      </c>
    </row>
    <row r="677" spans="22:22" x14ac:dyDescent="0.15">
      <c r="V677" s="272">
        <v>665</v>
      </c>
    </row>
    <row r="678" spans="22:22" x14ac:dyDescent="0.15">
      <c r="V678" s="272">
        <v>666</v>
      </c>
    </row>
    <row r="679" spans="22:22" x14ac:dyDescent="0.15">
      <c r="V679" s="272">
        <v>667</v>
      </c>
    </row>
    <row r="680" spans="22:22" x14ac:dyDescent="0.15">
      <c r="V680" s="272">
        <v>668</v>
      </c>
    </row>
    <row r="681" spans="22:22" x14ac:dyDescent="0.15">
      <c r="V681" s="272">
        <v>669</v>
      </c>
    </row>
    <row r="682" spans="22:22" x14ac:dyDescent="0.15">
      <c r="V682" s="272">
        <v>670</v>
      </c>
    </row>
    <row r="683" spans="22:22" x14ac:dyDescent="0.15">
      <c r="V683" s="272">
        <v>671</v>
      </c>
    </row>
    <row r="684" spans="22:22" x14ac:dyDescent="0.15">
      <c r="V684" s="272">
        <v>672</v>
      </c>
    </row>
    <row r="685" spans="22:22" x14ac:dyDescent="0.15">
      <c r="V685" s="272">
        <v>673</v>
      </c>
    </row>
    <row r="686" spans="22:22" x14ac:dyDescent="0.15">
      <c r="V686" s="272">
        <v>674</v>
      </c>
    </row>
    <row r="687" spans="22:22" x14ac:dyDescent="0.15">
      <c r="V687" s="272">
        <v>675</v>
      </c>
    </row>
    <row r="688" spans="22:22" x14ac:dyDescent="0.15">
      <c r="V688" s="272">
        <v>676</v>
      </c>
    </row>
    <row r="689" spans="22:22" x14ac:dyDescent="0.15">
      <c r="V689" s="272">
        <v>677</v>
      </c>
    </row>
    <row r="690" spans="22:22" x14ac:dyDescent="0.15">
      <c r="V690" s="272">
        <v>678</v>
      </c>
    </row>
    <row r="691" spans="22:22" x14ac:dyDescent="0.15">
      <c r="V691" s="272">
        <v>679</v>
      </c>
    </row>
    <row r="692" spans="22:22" x14ac:dyDescent="0.15">
      <c r="V692" s="272">
        <v>680</v>
      </c>
    </row>
    <row r="693" spans="22:22" x14ac:dyDescent="0.15">
      <c r="V693" s="272">
        <v>681</v>
      </c>
    </row>
    <row r="694" spans="22:22" x14ac:dyDescent="0.15">
      <c r="V694" s="272">
        <v>682</v>
      </c>
    </row>
    <row r="695" spans="22:22" x14ac:dyDescent="0.15">
      <c r="V695" s="272">
        <v>683</v>
      </c>
    </row>
    <row r="696" spans="22:22" x14ac:dyDescent="0.15">
      <c r="V696" s="272">
        <v>684</v>
      </c>
    </row>
    <row r="697" spans="22:22" x14ac:dyDescent="0.15">
      <c r="V697" s="272">
        <v>685</v>
      </c>
    </row>
    <row r="698" spans="22:22" x14ac:dyDescent="0.15">
      <c r="V698" s="272">
        <v>686</v>
      </c>
    </row>
    <row r="699" spans="22:22" x14ac:dyDescent="0.15">
      <c r="V699" s="272">
        <v>687</v>
      </c>
    </row>
    <row r="700" spans="22:22" x14ac:dyDescent="0.15">
      <c r="V700" s="272">
        <v>688</v>
      </c>
    </row>
    <row r="701" spans="22:22" x14ac:dyDescent="0.15">
      <c r="V701" s="272">
        <v>689</v>
      </c>
    </row>
    <row r="702" spans="22:22" x14ac:dyDescent="0.15">
      <c r="V702" s="272">
        <v>690</v>
      </c>
    </row>
    <row r="703" spans="22:22" x14ac:dyDescent="0.15">
      <c r="V703" s="272">
        <v>691</v>
      </c>
    </row>
    <row r="704" spans="22:22" x14ac:dyDescent="0.15">
      <c r="V704" s="272">
        <v>692</v>
      </c>
    </row>
    <row r="705" spans="22:22" x14ac:dyDescent="0.15">
      <c r="V705" s="272">
        <v>693</v>
      </c>
    </row>
    <row r="706" spans="22:22" x14ac:dyDescent="0.15">
      <c r="V706" s="272">
        <v>694</v>
      </c>
    </row>
    <row r="707" spans="22:22" x14ac:dyDescent="0.15">
      <c r="V707" s="272">
        <v>695</v>
      </c>
    </row>
    <row r="708" spans="22:22" x14ac:dyDescent="0.15">
      <c r="V708" s="272">
        <v>696</v>
      </c>
    </row>
    <row r="709" spans="22:22" x14ac:dyDescent="0.15">
      <c r="V709" s="272">
        <v>697</v>
      </c>
    </row>
    <row r="710" spans="22:22" x14ac:dyDescent="0.15">
      <c r="V710" s="272">
        <v>698</v>
      </c>
    </row>
    <row r="711" spans="22:22" x14ac:dyDescent="0.15">
      <c r="V711" s="272">
        <v>699</v>
      </c>
    </row>
    <row r="712" spans="22:22" x14ac:dyDescent="0.15">
      <c r="V712" s="272">
        <v>700</v>
      </c>
    </row>
    <row r="713" spans="22:22" x14ac:dyDescent="0.15">
      <c r="V713" s="272">
        <v>701</v>
      </c>
    </row>
    <row r="714" spans="22:22" x14ac:dyDescent="0.15">
      <c r="V714" s="272">
        <v>702</v>
      </c>
    </row>
    <row r="715" spans="22:22" x14ac:dyDescent="0.15">
      <c r="V715" s="272">
        <v>703</v>
      </c>
    </row>
    <row r="716" spans="22:22" x14ac:dyDescent="0.15">
      <c r="V716" s="272">
        <v>704</v>
      </c>
    </row>
    <row r="717" spans="22:22" x14ac:dyDescent="0.15">
      <c r="V717" s="272">
        <v>705</v>
      </c>
    </row>
    <row r="718" spans="22:22" x14ac:dyDescent="0.15">
      <c r="V718" s="272">
        <v>706</v>
      </c>
    </row>
    <row r="719" spans="22:22" x14ac:dyDescent="0.15">
      <c r="V719" s="272">
        <v>707</v>
      </c>
    </row>
    <row r="720" spans="22:22" x14ac:dyDescent="0.15">
      <c r="V720" s="272">
        <v>708</v>
      </c>
    </row>
    <row r="721" spans="22:22" x14ac:dyDescent="0.15">
      <c r="V721" s="272">
        <v>709</v>
      </c>
    </row>
    <row r="722" spans="22:22" x14ac:dyDescent="0.15">
      <c r="V722" s="272">
        <v>710</v>
      </c>
    </row>
    <row r="723" spans="22:22" x14ac:dyDescent="0.15">
      <c r="V723" s="272">
        <v>711</v>
      </c>
    </row>
    <row r="724" spans="22:22" x14ac:dyDescent="0.15">
      <c r="V724" s="272">
        <v>712</v>
      </c>
    </row>
    <row r="725" spans="22:22" x14ac:dyDescent="0.15">
      <c r="V725" s="272">
        <v>713</v>
      </c>
    </row>
    <row r="726" spans="22:22" x14ac:dyDescent="0.15">
      <c r="V726" s="272">
        <v>714</v>
      </c>
    </row>
    <row r="727" spans="22:22" x14ac:dyDescent="0.15">
      <c r="V727" s="272">
        <v>715</v>
      </c>
    </row>
    <row r="728" spans="22:22" x14ac:dyDescent="0.15">
      <c r="V728" s="272">
        <v>716</v>
      </c>
    </row>
    <row r="729" spans="22:22" x14ac:dyDescent="0.15">
      <c r="V729" s="272">
        <v>717</v>
      </c>
    </row>
    <row r="730" spans="22:22" x14ac:dyDescent="0.15">
      <c r="V730" s="272">
        <v>718</v>
      </c>
    </row>
    <row r="731" spans="22:22" x14ac:dyDescent="0.15">
      <c r="V731" s="272">
        <v>719</v>
      </c>
    </row>
    <row r="732" spans="22:22" x14ac:dyDescent="0.15">
      <c r="V732" s="272">
        <v>720</v>
      </c>
    </row>
    <row r="733" spans="22:22" x14ac:dyDescent="0.15">
      <c r="V733" s="272">
        <v>721</v>
      </c>
    </row>
    <row r="734" spans="22:22" x14ac:dyDescent="0.15">
      <c r="V734" s="272">
        <v>722</v>
      </c>
    </row>
    <row r="735" spans="22:22" x14ac:dyDescent="0.15">
      <c r="V735" s="272">
        <v>723</v>
      </c>
    </row>
    <row r="736" spans="22:22" x14ac:dyDescent="0.15">
      <c r="V736" s="272">
        <v>724</v>
      </c>
    </row>
    <row r="737" spans="22:22" x14ac:dyDescent="0.15">
      <c r="V737" s="272">
        <v>725</v>
      </c>
    </row>
    <row r="738" spans="22:22" x14ac:dyDescent="0.15">
      <c r="V738" s="272">
        <v>726</v>
      </c>
    </row>
    <row r="739" spans="22:22" x14ac:dyDescent="0.15">
      <c r="V739" s="272">
        <v>727</v>
      </c>
    </row>
    <row r="740" spans="22:22" x14ac:dyDescent="0.15">
      <c r="V740" s="272">
        <v>728</v>
      </c>
    </row>
    <row r="741" spans="22:22" x14ac:dyDescent="0.15">
      <c r="V741" s="272">
        <v>729</v>
      </c>
    </row>
    <row r="742" spans="22:22" x14ac:dyDescent="0.15">
      <c r="V742" s="272">
        <v>730</v>
      </c>
    </row>
    <row r="743" spans="22:22" x14ac:dyDescent="0.15">
      <c r="V743" s="272">
        <v>731</v>
      </c>
    </row>
    <row r="744" spans="22:22" x14ac:dyDescent="0.15">
      <c r="V744" s="272">
        <v>732</v>
      </c>
    </row>
    <row r="745" spans="22:22" x14ac:dyDescent="0.15">
      <c r="V745" s="272">
        <v>733</v>
      </c>
    </row>
    <row r="746" spans="22:22" x14ac:dyDescent="0.15">
      <c r="V746" s="272">
        <v>734</v>
      </c>
    </row>
    <row r="747" spans="22:22" x14ac:dyDescent="0.15">
      <c r="V747" s="272">
        <v>735</v>
      </c>
    </row>
    <row r="748" spans="22:22" x14ac:dyDescent="0.15">
      <c r="V748" s="272">
        <v>736</v>
      </c>
    </row>
    <row r="749" spans="22:22" x14ac:dyDescent="0.15">
      <c r="V749" s="272">
        <v>737</v>
      </c>
    </row>
    <row r="750" spans="22:22" x14ac:dyDescent="0.15">
      <c r="V750" s="272">
        <v>738</v>
      </c>
    </row>
    <row r="751" spans="22:22" x14ac:dyDescent="0.15">
      <c r="V751" s="272">
        <v>739</v>
      </c>
    </row>
    <row r="752" spans="22:22" x14ac:dyDescent="0.15">
      <c r="V752" s="272">
        <v>740</v>
      </c>
    </row>
    <row r="753" spans="22:22" x14ac:dyDescent="0.15">
      <c r="V753" s="272">
        <v>741</v>
      </c>
    </row>
    <row r="754" spans="22:22" x14ac:dyDescent="0.15">
      <c r="V754" s="272">
        <v>742</v>
      </c>
    </row>
    <row r="755" spans="22:22" x14ac:dyDescent="0.15">
      <c r="V755" s="272">
        <v>743</v>
      </c>
    </row>
    <row r="756" spans="22:22" x14ac:dyDescent="0.15">
      <c r="V756" s="272">
        <v>744</v>
      </c>
    </row>
    <row r="757" spans="22:22" x14ac:dyDescent="0.15">
      <c r="V757" s="272">
        <v>745</v>
      </c>
    </row>
    <row r="758" spans="22:22" x14ac:dyDescent="0.15">
      <c r="V758" s="272">
        <v>746</v>
      </c>
    </row>
    <row r="759" spans="22:22" x14ac:dyDescent="0.15">
      <c r="V759" s="272">
        <v>747</v>
      </c>
    </row>
    <row r="760" spans="22:22" x14ac:dyDescent="0.15">
      <c r="V760" s="272">
        <v>748</v>
      </c>
    </row>
    <row r="761" spans="22:22" x14ac:dyDescent="0.15">
      <c r="V761" s="272">
        <v>749</v>
      </c>
    </row>
    <row r="762" spans="22:22" x14ac:dyDescent="0.15">
      <c r="V762" s="272">
        <v>750</v>
      </c>
    </row>
    <row r="763" spans="22:22" x14ac:dyDescent="0.15">
      <c r="V763" s="272">
        <v>751</v>
      </c>
    </row>
    <row r="764" spans="22:22" x14ac:dyDescent="0.15">
      <c r="V764" s="272">
        <v>752</v>
      </c>
    </row>
    <row r="765" spans="22:22" x14ac:dyDescent="0.15">
      <c r="V765" s="272">
        <v>753</v>
      </c>
    </row>
    <row r="766" spans="22:22" x14ac:dyDescent="0.15">
      <c r="V766" s="272">
        <v>754</v>
      </c>
    </row>
    <row r="767" spans="22:22" x14ac:dyDescent="0.15">
      <c r="V767" s="272">
        <v>755</v>
      </c>
    </row>
    <row r="768" spans="22:22" x14ac:dyDescent="0.15">
      <c r="V768" s="272">
        <v>756</v>
      </c>
    </row>
    <row r="769" spans="22:22" x14ac:dyDescent="0.15">
      <c r="V769" s="272">
        <v>757</v>
      </c>
    </row>
    <row r="770" spans="22:22" x14ac:dyDescent="0.15">
      <c r="V770" s="272">
        <v>758</v>
      </c>
    </row>
    <row r="771" spans="22:22" x14ac:dyDescent="0.15">
      <c r="V771" s="272">
        <v>759</v>
      </c>
    </row>
    <row r="772" spans="22:22" x14ac:dyDescent="0.15">
      <c r="V772" s="272">
        <v>760</v>
      </c>
    </row>
    <row r="773" spans="22:22" x14ac:dyDescent="0.15">
      <c r="V773" s="272">
        <v>761</v>
      </c>
    </row>
    <row r="774" spans="22:22" x14ac:dyDescent="0.15">
      <c r="V774" s="272">
        <v>762</v>
      </c>
    </row>
    <row r="775" spans="22:22" x14ac:dyDescent="0.15">
      <c r="V775" s="272">
        <v>763</v>
      </c>
    </row>
    <row r="776" spans="22:22" x14ac:dyDescent="0.15">
      <c r="V776" s="272">
        <v>764</v>
      </c>
    </row>
    <row r="777" spans="22:22" x14ac:dyDescent="0.15">
      <c r="V777" s="272">
        <v>765</v>
      </c>
    </row>
    <row r="778" spans="22:22" x14ac:dyDescent="0.15">
      <c r="V778" s="272">
        <v>766</v>
      </c>
    </row>
    <row r="779" spans="22:22" x14ac:dyDescent="0.15">
      <c r="V779" s="272">
        <v>767</v>
      </c>
    </row>
    <row r="780" spans="22:22" x14ac:dyDescent="0.15">
      <c r="V780" s="272">
        <v>768</v>
      </c>
    </row>
    <row r="781" spans="22:22" x14ac:dyDescent="0.15">
      <c r="V781" s="272">
        <v>769</v>
      </c>
    </row>
    <row r="782" spans="22:22" x14ac:dyDescent="0.15">
      <c r="V782" s="272">
        <v>770</v>
      </c>
    </row>
    <row r="783" spans="22:22" x14ac:dyDescent="0.15">
      <c r="V783" s="272">
        <v>771</v>
      </c>
    </row>
    <row r="784" spans="22:22" x14ac:dyDescent="0.15">
      <c r="V784" s="272">
        <v>772</v>
      </c>
    </row>
    <row r="785" spans="22:22" x14ac:dyDescent="0.15">
      <c r="V785" s="272">
        <v>773</v>
      </c>
    </row>
    <row r="786" spans="22:22" x14ac:dyDescent="0.15">
      <c r="V786" s="272">
        <v>774</v>
      </c>
    </row>
    <row r="787" spans="22:22" x14ac:dyDescent="0.15">
      <c r="V787" s="272">
        <v>775</v>
      </c>
    </row>
    <row r="788" spans="22:22" x14ac:dyDescent="0.15">
      <c r="V788" s="272">
        <v>776</v>
      </c>
    </row>
    <row r="789" spans="22:22" x14ac:dyDescent="0.15">
      <c r="V789" s="272">
        <v>777</v>
      </c>
    </row>
    <row r="790" spans="22:22" x14ac:dyDescent="0.15">
      <c r="V790" s="272">
        <v>778</v>
      </c>
    </row>
    <row r="791" spans="22:22" x14ac:dyDescent="0.15">
      <c r="V791" s="272">
        <v>779</v>
      </c>
    </row>
    <row r="792" spans="22:22" x14ac:dyDescent="0.15">
      <c r="V792" s="272">
        <v>780</v>
      </c>
    </row>
    <row r="793" spans="22:22" x14ac:dyDescent="0.15">
      <c r="V793" s="272">
        <v>781</v>
      </c>
    </row>
    <row r="794" spans="22:22" x14ac:dyDescent="0.15">
      <c r="V794" s="272">
        <v>782</v>
      </c>
    </row>
    <row r="795" spans="22:22" x14ac:dyDescent="0.15">
      <c r="V795" s="272">
        <v>783</v>
      </c>
    </row>
    <row r="796" spans="22:22" x14ac:dyDescent="0.15">
      <c r="V796" s="272">
        <v>784</v>
      </c>
    </row>
    <row r="797" spans="22:22" x14ac:dyDescent="0.15">
      <c r="V797" s="272">
        <v>785</v>
      </c>
    </row>
    <row r="798" spans="22:22" x14ac:dyDescent="0.15">
      <c r="V798" s="272">
        <v>786</v>
      </c>
    </row>
    <row r="799" spans="22:22" x14ac:dyDescent="0.15">
      <c r="V799" s="272">
        <v>787</v>
      </c>
    </row>
    <row r="800" spans="22:22" x14ac:dyDescent="0.15">
      <c r="V800" s="272">
        <v>788</v>
      </c>
    </row>
    <row r="801" spans="22:22" x14ac:dyDescent="0.15">
      <c r="V801" s="272">
        <v>789</v>
      </c>
    </row>
    <row r="802" spans="22:22" x14ac:dyDescent="0.15">
      <c r="V802" s="272">
        <v>790</v>
      </c>
    </row>
    <row r="803" spans="22:22" x14ac:dyDescent="0.15">
      <c r="V803" s="272">
        <v>791</v>
      </c>
    </row>
    <row r="804" spans="22:22" x14ac:dyDescent="0.15">
      <c r="V804" s="272">
        <v>792</v>
      </c>
    </row>
    <row r="805" spans="22:22" x14ac:dyDescent="0.15">
      <c r="V805" s="272">
        <v>793</v>
      </c>
    </row>
    <row r="806" spans="22:22" x14ac:dyDescent="0.15">
      <c r="V806" s="272">
        <v>794</v>
      </c>
    </row>
    <row r="807" spans="22:22" x14ac:dyDescent="0.15">
      <c r="V807" s="272">
        <v>795</v>
      </c>
    </row>
    <row r="808" spans="22:22" x14ac:dyDescent="0.15">
      <c r="V808" s="272">
        <v>796</v>
      </c>
    </row>
    <row r="809" spans="22:22" x14ac:dyDescent="0.15">
      <c r="V809" s="272">
        <v>797</v>
      </c>
    </row>
    <row r="810" spans="22:22" x14ac:dyDescent="0.15">
      <c r="V810" s="272">
        <v>798</v>
      </c>
    </row>
    <row r="811" spans="22:22" x14ac:dyDescent="0.15">
      <c r="V811" s="272">
        <v>799</v>
      </c>
    </row>
    <row r="812" spans="22:22" x14ac:dyDescent="0.15">
      <c r="V812" s="272">
        <v>800</v>
      </c>
    </row>
    <row r="813" spans="22:22" x14ac:dyDescent="0.15">
      <c r="V813" s="272">
        <v>801</v>
      </c>
    </row>
    <row r="814" spans="22:22" x14ac:dyDescent="0.15">
      <c r="V814" s="272">
        <v>802</v>
      </c>
    </row>
    <row r="815" spans="22:22" x14ac:dyDescent="0.15">
      <c r="V815" s="272">
        <v>803</v>
      </c>
    </row>
    <row r="816" spans="22:22" x14ac:dyDescent="0.15">
      <c r="V816" s="272">
        <v>804</v>
      </c>
    </row>
    <row r="817" spans="22:22" x14ac:dyDescent="0.15">
      <c r="V817" s="272">
        <v>805</v>
      </c>
    </row>
    <row r="818" spans="22:22" x14ac:dyDescent="0.15">
      <c r="V818" s="272">
        <v>806</v>
      </c>
    </row>
    <row r="819" spans="22:22" x14ac:dyDescent="0.15">
      <c r="V819" s="272">
        <v>807</v>
      </c>
    </row>
    <row r="820" spans="22:22" x14ac:dyDescent="0.15">
      <c r="V820" s="272">
        <v>808</v>
      </c>
    </row>
    <row r="821" spans="22:22" x14ac:dyDescent="0.15">
      <c r="V821" s="272">
        <v>809</v>
      </c>
    </row>
    <row r="822" spans="22:22" x14ac:dyDescent="0.15">
      <c r="V822" s="272">
        <v>810</v>
      </c>
    </row>
    <row r="823" spans="22:22" x14ac:dyDescent="0.15">
      <c r="V823" s="272">
        <v>811</v>
      </c>
    </row>
    <row r="824" spans="22:22" x14ac:dyDescent="0.15">
      <c r="V824" s="272">
        <v>812</v>
      </c>
    </row>
    <row r="825" spans="22:22" x14ac:dyDescent="0.15">
      <c r="V825" s="272">
        <v>813</v>
      </c>
    </row>
    <row r="826" spans="22:22" x14ac:dyDescent="0.15">
      <c r="V826" s="272">
        <v>814</v>
      </c>
    </row>
    <row r="827" spans="22:22" x14ac:dyDescent="0.15">
      <c r="V827" s="272">
        <v>815</v>
      </c>
    </row>
    <row r="828" spans="22:22" x14ac:dyDescent="0.15">
      <c r="V828" s="272">
        <v>816</v>
      </c>
    </row>
    <row r="829" spans="22:22" x14ac:dyDescent="0.15">
      <c r="V829" s="272">
        <v>817</v>
      </c>
    </row>
    <row r="830" spans="22:22" x14ac:dyDescent="0.15">
      <c r="V830" s="272">
        <v>818</v>
      </c>
    </row>
    <row r="831" spans="22:22" x14ac:dyDescent="0.15">
      <c r="V831" s="272">
        <v>819</v>
      </c>
    </row>
    <row r="832" spans="22:22" x14ac:dyDescent="0.15">
      <c r="V832" s="272">
        <v>820</v>
      </c>
    </row>
    <row r="833" spans="22:22" x14ac:dyDescent="0.15">
      <c r="V833" s="272">
        <v>821</v>
      </c>
    </row>
    <row r="834" spans="22:22" x14ac:dyDescent="0.15">
      <c r="V834" s="272">
        <v>822</v>
      </c>
    </row>
    <row r="835" spans="22:22" x14ac:dyDescent="0.15">
      <c r="V835" s="272">
        <v>823</v>
      </c>
    </row>
    <row r="836" spans="22:22" x14ac:dyDescent="0.15">
      <c r="V836" s="272">
        <v>824</v>
      </c>
    </row>
    <row r="837" spans="22:22" x14ac:dyDescent="0.15">
      <c r="V837" s="272">
        <v>825</v>
      </c>
    </row>
    <row r="838" spans="22:22" x14ac:dyDescent="0.15">
      <c r="V838" s="272">
        <v>826</v>
      </c>
    </row>
    <row r="839" spans="22:22" x14ac:dyDescent="0.15">
      <c r="V839" s="272">
        <v>827</v>
      </c>
    </row>
    <row r="840" spans="22:22" x14ac:dyDescent="0.15">
      <c r="V840" s="272">
        <v>828</v>
      </c>
    </row>
    <row r="841" spans="22:22" x14ac:dyDescent="0.15">
      <c r="V841" s="272">
        <v>829</v>
      </c>
    </row>
    <row r="842" spans="22:22" x14ac:dyDescent="0.15">
      <c r="V842" s="272">
        <v>830</v>
      </c>
    </row>
    <row r="843" spans="22:22" x14ac:dyDescent="0.15">
      <c r="V843" s="272">
        <v>831</v>
      </c>
    </row>
    <row r="844" spans="22:22" x14ac:dyDescent="0.15">
      <c r="V844" s="272">
        <v>832</v>
      </c>
    </row>
    <row r="845" spans="22:22" x14ac:dyDescent="0.15">
      <c r="V845" s="272">
        <v>833</v>
      </c>
    </row>
    <row r="846" spans="22:22" x14ac:dyDescent="0.15">
      <c r="V846" s="272">
        <v>834</v>
      </c>
    </row>
    <row r="847" spans="22:22" x14ac:dyDescent="0.15">
      <c r="V847" s="272">
        <v>835</v>
      </c>
    </row>
    <row r="848" spans="22:22" x14ac:dyDescent="0.15">
      <c r="V848" s="272">
        <v>836</v>
      </c>
    </row>
    <row r="849" spans="22:22" x14ac:dyDescent="0.15">
      <c r="V849" s="272">
        <v>837</v>
      </c>
    </row>
    <row r="850" spans="22:22" x14ac:dyDescent="0.15">
      <c r="V850" s="272">
        <v>838</v>
      </c>
    </row>
    <row r="851" spans="22:22" x14ac:dyDescent="0.15">
      <c r="V851" s="272">
        <v>839</v>
      </c>
    </row>
    <row r="852" spans="22:22" x14ac:dyDescent="0.15">
      <c r="V852" s="272">
        <v>840</v>
      </c>
    </row>
    <row r="853" spans="22:22" x14ac:dyDescent="0.15">
      <c r="V853" s="272">
        <v>841</v>
      </c>
    </row>
    <row r="854" spans="22:22" x14ac:dyDescent="0.15">
      <c r="V854" s="272">
        <v>842</v>
      </c>
    </row>
    <row r="855" spans="22:22" x14ac:dyDescent="0.15">
      <c r="V855" s="272">
        <v>843</v>
      </c>
    </row>
    <row r="856" spans="22:22" x14ac:dyDescent="0.15">
      <c r="V856" s="272">
        <v>844</v>
      </c>
    </row>
    <row r="857" spans="22:22" x14ac:dyDescent="0.15">
      <c r="V857" s="272">
        <v>845</v>
      </c>
    </row>
    <row r="858" spans="22:22" x14ac:dyDescent="0.15">
      <c r="V858" s="272">
        <v>846</v>
      </c>
    </row>
    <row r="859" spans="22:22" x14ac:dyDescent="0.15">
      <c r="V859" s="272">
        <v>847</v>
      </c>
    </row>
    <row r="860" spans="22:22" x14ac:dyDescent="0.15">
      <c r="V860" s="272">
        <v>848</v>
      </c>
    </row>
    <row r="861" spans="22:22" x14ac:dyDescent="0.15">
      <c r="V861" s="272">
        <v>849</v>
      </c>
    </row>
    <row r="862" spans="22:22" x14ac:dyDescent="0.15">
      <c r="V862" s="272">
        <v>850</v>
      </c>
    </row>
    <row r="863" spans="22:22" x14ac:dyDescent="0.15">
      <c r="V863" s="272">
        <v>851</v>
      </c>
    </row>
    <row r="864" spans="22:22" x14ac:dyDescent="0.15">
      <c r="V864" s="272">
        <v>852</v>
      </c>
    </row>
    <row r="865" spans="22:22" x14ac:dyDescent="0.15">
      <c r="V865" s="272">
        <v>853</v>
      </c>
    </row>
    <row r="866" spans="22:22" x14ac:dyDescent="0.15">
      <c r="V866" s="272">
        <v>854</v>
      </c>
    </row>
    <row r="867" spans="22:22" x14ac:dyDescent="0.15">
      <c r="V867" s="272">
        <v>855</v>
      </c>
    </row>
    <row r="868" spans="22:22" x14ac:dyDescent="0.15">
      <c r="V868" s="272">
        <v>856</v>
      </c>
    </row>
    <row r="869" spans="22:22" x14ac:dyDescent="0.15">
      <c r="V869" s="272">
        <v>857</v>
      </c>
    </row>
    <row r="870" spans="22:22" x14ac:dyDescent="0.15">
      <c r="V870" s="272">
        <v>858</v>
      </c>
    </row>
    <row r="871" spans="22:22" x14ac:dyDescent="0.15">
      <c r="V871" s="272">
        <v>859</v>
      </c>
    </row>
    <row r="872" spans="22:22" x14ac:dyDescent="0.15">
      <c r="V872" s="272">
        <v>860</v>
      </c>
    </row>
    <row r="873" spans="22:22" x14ac:dyDescent="0.15">
      <c r="V873" s="272">
        <v>861</v>
      </c>
    </row>
    <row r="874" spans="22:22" x14ac:dyDescent="0.15">
      <c r="V874" s="272">
        <v>862</v>
      </c>
    </row>
    <row r="875" spans="22:22" x14ac:dyDescent="0.15">
      <c r="V875" s="272">
        <v>863</v>
      </c>
    </row>
    <row r="876" spans="22:22" x14ac:dyDescent="0.15">
      <c r="V876" s="272">
        <v>864</v>
      </c>
    </row>
    <row r="877" spans="22:22" x14ac:dyDescent="0.15">
      <c r="V877" s="272">
        <v>865</v>
      </c>
    </row>
    <row r="878" spans="22:22" x14ac:dyDescent="0.15">
      <c r="V878" s="272">
        <v>866</v>
      </c>
    </row>
    <row r="879" spans="22:22" x14ac:dyDescent="0.15">
      <c r="V879" s="272">
        <v>867</v>
      </c>
    </row>
    <row r="880" spans="22:22" x14ac:dyDescent="0.15">
      <c r="V880" s="272">
        <v>868</v>
      </c>
    </row>
    <row r="881" spans="22:22" x14ac:dyDescent="0.15">
      <c r="V881" s="272">
        <v>869</v>
      </c>
    </row>
    <row r="882" spans="22:22" x14ac:dyDescent="0.15">
      <c r="V882" s="272">
        <v>870</v>
      </c>
    </row>
    <row r="883" spans="22:22" x14ac:dyDescent="0.15">
      <c r="V883" s="272">
        <v>871</v>
      </c>
    </row>
    <row r="884" spans="22:22" x14ac:dyDescent="0.15">
      <c r="V884" s="272">
        <v>872</v>
      </c>
    </row>
    <row r="885" spans="22:22" x14ac:dyDescent="0.15">
      <c r="V885" s="272">
        <v>873</v>
      </c>
    </row>
    <row r="886" spans="22:22" x14ac:dyDescent="0.15">
      <c r="V886" s="272">
        <v>874</v>
      </c>
    </row>
    <row r="887" spans="22:22" x14ac:dyDescent="0.15">
      <c r="V887" s="272">
        <v>875</v>
      </c>
    </row>
    <row r="888" spans="22:22" x14ac:dyDescent="0.15">
      <c r="V888" s="272">
        <v>876</v>
      </c>
    </row>
    <row r="889" spans="22:22" x14ac:dyDescent="0.15">
      <c r="V889" s="272">
        <v>877</v>
      </c>
    </row>
    <row r="890" spans="22:22" x14ac:dyDescent="0.15">
      <c r="V890" s="272">
        <v>878</v>
      </c>
    </row>
    <row r="891" spans="22:22" x14ac:dyDescent="0.15">
      <c r="V891" s="272">
        <v>879</v>
      </c>
    </row>
    <row r="892" spans="22:22" x14ac:dyDescent="0.15">
      <c r="V892" s="272">
        <v>880</v>
      </c>
    </row>
    <row r="893" spans="22:22" x14ac:dyDescent="0.15">
      <c r="V893" s="272">
        <v>881</v>
      </c>
    </row>
    <row r="894" spans="22:22" x14ac:dyDescent="0.15">
      <c r="V894" s="272">
        <v>882</v>
      </c>
    </row>
    <row r="895" spans="22:22" x14ac:dyDescent="0.15">
      <c r="V895" s="272">
        <v>883</v>
      </c>
    </row>
    <row r="896" spans="22:22" x14ac:dyDescent="0.15">
      <c r="V896" s="272">
        <v>884</v>
      </c>
    </row>
    <row r="897" spans="22:22" x14ac:dyDescent="0.15">
      <c r="V897" s="272">
        <v>885</v>
      </c>
    </row>
    <row r="898" spans="22:22" x14ac:dyDescent="0.15">
      <c r="V898" s="272">
        <v>886</v>
      </c>
    </row>
    <row r="899" spans="22:22" x14ac:dyDescent="0.15">
      <c r="V899" s="272">
        <v>887</v>
      </c>
    </row>
    <row r="900" spans="22:22" x14ac:dyDescent="0.15">
      <c r="V900" s="272">
        <v>888</v>
      </c>
    </row>
    <row r="901" spans="22:22" x14ac:dyDescent="0.15">
      <c r="V901" s="272">
        <v>889</v>
      </c>
    </row>
    <row r="902" spans="22:22" x14ac:dyDescent="0.15">
      <c r="V902" s="272">
        <v>890</v>
      </c>
    </row>
    <row r="903" spans="22:22" x14ac:dyDescent="0.15">
      <c r="V903" s="272">
        <v>891</v>
      </c>
    </row>
    <row r="904" spans="22:22" x14ac:dyDescent="0.15">
      <c r="V904" s="272">
        <v>892</v>
      </c>
    </row>
    <row r="905" spans="22:22" x14ac:dyDescent="0.15">
      <c r="V905" s="272">
        <v>893</v>
      </c>
    </row>
    <row r="906" spans="22:22" x14ac:dyDescent="0.15">
      <c r="V906" s="272">
        <v>894</v>
      </c>
    </row>
    <row r="907" spans="22:22" x14ac:dyDescent="0.15">
      <c r="V907" s="272">
        <v>895</v>
      </c>
    </row>
    <row r="908" spans="22:22" x14ac:dyDescent="0.15">
      <c r="V908" s="272">
        <v>896</v>
      </c>
    </row>
    <row r="909" spans="22:22" x14ac:dyDescent="0.15">
      <c r="V909" s="272">
        <v>897</v>
      </c>
    </row>
    <row r="910" spans="22:22" x14ac:dyDescent="0.15">
      <c r="V910" s="272">
        <v>898</v>
      </c>
    </row>
    <row r="911" spans="22:22" x14ac:dyDescent="0.15">
      <c r="V911" s="272">
        <v>899</v>
      </c>
    </row>
    <row r="912" spans="22:22" x14ac:dyDescent="0.15">
      <c r="V912" s="272">
        <v>900</v>
      </c>
    </row>
    <row r="913" spans="22:22" x14ac:dyDescent="0.15">
      <c r="V913" s="272">
        <v>901</v>
      </c>
    </row>
    <row r="914" spans="22:22" x14ac:dyDescent="0.15">
      <c r="V914" s="272">
        <v>902</v>
      </c>
    </row>
    <row r="915" spans="22:22" x14ac:dyDescent="0.15">
      <c r="V915" s="272">
        <v>903</v>
      </c>
    </row>
    <row r="916" spans="22:22" x14ac:dyDescent="0.15">
      <c r="V916" s="272">
        <v>904</v>
      </c>
    </row>
    <row r="917" spans="22:22" x14ac:dyDescent="0.15">
      <c r="V917" s="272">
        <v>905</v>
      </c>
    </row>
    <row r="918" spans="22:22" x14ac:dyDescent="0.15">
      <c r="V918" s="272">
        <v>906</v>
      </c>
    </row>
    <row r="919" spans="22:22" x14ac:dyDescent="0.15">
      <c r="V919" s="272">
        <v>907</v>
      </c>
    </row>
    <row r="920" spans="22:22" x14ac:dyDescent="0.15">
      <c r="V920" s="272">
        <v>908</v>
      </c>
    </row>
    <row r="921" spans="22:22" x14ac:dyDescent="0.15">
      <c r="V921" s="272">
        <v>909</v>
      </c>
    </row>
    <row r="922" spans="22:22" x14ac:dyDescent="0.15">
      <c r="V922" s="272">
        <v>910</v>
      </c>
    </row>
    <row r="923" spans="22:22" x14ac:dyDescent="0.15">
      <c r="V923" s="272">
        <v>911</v>
      </c>
    </row>
    <row r="924" spans="22:22" x14ac:dyDescent="0.15">
      <c r="V924" s="272">
        <v>912</v>
      </c>
    </row>
    <row r="925" spans="22:22" x14ac:dyDescent="0.15">
      <c r="V925" s="272">
        <v>913</v>
      </c>
    </row>
    <row r="926" spans="22:22" x14ac:dyDescent="0.15">
      <c r="V926" s="272">
        <v>914</v>
      </c>
    </row>
    <row r="927" spans="22:22" x14ac:dyDescent="0.15">
      <c r="V927" s="272">
        <v>915</v>
      </c>
    </row>
    <row r="928" spans="22:22" x14ac:dyDescent="0.15">
      <c r="V928" s="272">
        <v>916</v>
      </c>
    </row>
    <row r="929" spans="22:22" x14ac:dyDescent="0.15">
      <c r="V929" s="272">
        <v>917</v>
      </c>
    </row>
    <row r="930" spans="22:22" x14ac:dyDescent="0.15">
      <c r="V930" s="272">
        <v>918</v>
      </c>
    </row>
    <row r="931" spans="22:22" x14ac:dyDescent="0.15">
      <c r="V931" s="272">
        <v>919</v>
      </c>
    </row>
    <row r="932" spans="22:22" x14ac:dyDescent="0.15">
      <c r="V932" s="272">
        <v>920</v>
      </c>
    </row>
    <row r="933" spans="22:22" x14ac:dyDescent="0.15">
      <c r="V933" s="272">
        <v>921</v>
      </c>
    </row>
    <row r="934" spans="22:22" x14ac:dyDescent="0.15">
      <c r="V934" s="272">
        <v>922</v>
      </c>
    </row>
    <row r="935" spans="22:22" x14ac:dyDescent="0.15">
      <c r="V935" s="272">
        <v>923</v>
      </c>
    </row>
    <row r="936" spans="22:22" x14ac:dyDescent="0.15">
      <c r="V936" s="272">
        <v>924</v>
      </c>
    </row>
    <row r="937" spans="22:22" x14ac:dyDescent="0.15">
      <c r="V937" s="272">
        <v>925</v>
      </c>
    </row>
    <row r="938" spans="22:22" x14ac:dyDescent="0.15">
      <c r="V938" s="272">
        <v>926</v>
      </c>
    </row>
    <row r="939" spans="22:22" x14ac:dyDescent="0.15">
      <c r="V939" s="272">
        <v>927</v>
      </c>
    </row>
    <row r="940" spans="22:22" x14ac:dyDescent="0.15">
      <c r="V940" s="272">
        <v>928</v>
      </c>
    </row>
    <row r="941" spans="22:22" x14ac:dyDescent="0.15">
      <c r="V941" s="272">
        <v>929</v>
      </c>
    </row>
    <row r="942" spans="22:22" x14ac:dyDescent="0.15">
      <c r="V942" s="272">
        <v>930</v>
      </c>
    </row>
    <row r="943" spans="22:22" x14ac:dyDescent="0.15">
      <c r="V943" s="272">
        <v>931</v>
      </c>
    </row>
    <row r="944" spans="22:22" x14ac:dyDescent="0.15">
      <c r="V944" s="272">
        <v>932</v>
      </c>
    </row>
    <row r="945" spans="22:22" x14ac:dyDescent="0.15">
      <c r="V945" s="272">
        <v>933</v>
      </c>
    </row>
    <row r="946" spans="22:22" x14ac:dyDescent="0.15">
      <c r="V946" s="272">
        <v>934</v>
      </c>
    </row>
    <row r="947" spans="22:22" x14ac:dyDescent="0.15">
      <c r="V947" s="272">
        <v>935</v>
      </c>
    </row>
    <row r="948" spans="22:22" x14ac:dyDescent="0.15">
      <c r="V948" s="272">
        <v>936</v>
      </c>
    </row>
    <row r="949" spans="22:22" x14ac:dyDescent="0.15">
      <c r="V949" s="272">
        <v>937</v>
      </c>
    </row>
    <row r="950" spans="22:22" x14ac:dyDescent="0.15">
      <c r="V950" s="272">
        <v>938</v>
      </c>
    </row>
    <row r="951" spans="22:22" x14ac:dyDescent="0.15">
      <c r="V951" s="272">
        <v>939</v>
      </c>
    </row>
    <row r="952" spans="22:22" x14ac:dyDescent="0.15">
      <c r="V952" s="272">
        <v>940</v>
      </c>
    </row>
    <row r="953" spans="22:22" x14ac:dyDescent="0.15">
      <c r="V953" s="272">
        <v>941</v>
      </c>
    </row>
    <row r="954" spans="22:22" x14ac:dyDescent="0.15">
      <c r="V954" s="272">
        <v>942</v>
      </c>
    </row>
    <row r="955" spans="22:22" x14ac:dyDescent="0.15">
      <c r="V955" s="272">
        <v>943</v>
      </c>
    </row>
    <row r="956" spans="22:22" x14ac:dyDescent="0.15">
      <c r="V956" s="272">
        <v>944</v>
      </c>
    </row>
    <row r="957" spans="22:22" x14ac:dyDescent="0.15">
      <c r="V957" s="272">
        <v>945</v>
      </c>
    </row>
    <row r="958" spans="22:22" x14ac:dyDescent="0.15">
      <c r="V958" s="272">
        <v>946</v>
      </c>
    </row>
    <row r="959" spans="22:22" x14ac:dyDescent="0.15">
      <c r="V959" s="272">
        <v>947</v>
      </c>
    </row>
    <row r="960" spans="22:22" x14ac:dyDescent="0.15">
      <c r="V960" s="272">
        <v>948</v>
      </c>
    </row>
    <row r="961" spans="22:22" x14ac:dyDescent="0.15">
      <c r="V961" s="272">
        <v>949</v>
      </c>
    </row>
    <row r="962" spans="22:22" x14ac:dyDescent="0.15">
      <c r="V962" s="272">
        <v>950</v>
      </c>
    </row>
    <row r="963" spans="22:22" x14ac:dyDescent="0.15">
      <c r="V963" s="272">
        <v>951</v>
      </c>
    </row>
    <row r="964" spans="22:22" x14ac:dyDescent="0.15">
      <c r="V964" s="272">
        <v>952</v>
      </c>
    </row>
    <row r="965" spans="22:22" x14ac:dyDescent="0.15">
      <c r="V965" s="272">
        <v>953</v>
      </c>
    </row>
    <row r="966" spans="22:22" x14ac:dyDescent="0.15">
      <c r="V966" s="272">
        <v>954</v>
      </c>
    </row>
    <row r="967" spans="22:22" x14ac:dyDescent="0.15">
      <c r="V967" s="272">
        <v>955</v>
      </c>
    </row>
    <row r="968" spans="22:22" x14ac:dyDescent="0.15">
      <c r="V968" s="272">
        <v>956</v>
      </c>
    </row>
    <row r="969" spans="22:22" x14ac:dyDescent="0.15">
      <c r="V969" s="272">
        <v>957</v>
      </c>
    </row>
    <row r="970" spans="22:22" x14ac:dyDescent="0.15">
      <c r="V970" s="272">
        <v>958</v>
      </c>
    </row>
    <row r="971" spans="22:22" x14ac:dyDescent="0.15">
      <c r="V971" s="272">
        <v>959</v>
      </c>
    </row>
    <row r="972" spans="22:22" x14ac:dyDescent="0.15">
      <c r="V972" s="272">
        <v>960</v>
      </c>
    </row>
    <row r="973" spans="22:22" x14ac:dyDescent="0.15">
      <c r="V973" s="272">
        <v>961</v>
      </c>
    </row>
    <row r="974" spans="22:22" x14ac:dyDescent="0.15">
      <c r="V974" s="272">
        <v>962</v>
      </c>
    </row>
    <row r="975" spans="22:22" x14ac:dyDescent="0.15">
      <c r="V975" s="272">
        <v>963</v>
      </c>
    </row>
    <row r="976" spans="22:22" x14ac:dyDescent="0.15">
      <c r="V976" s="272">
        <v>964</v>
      </c>
    </row>
    <row r="977" spans="22:22" x14ac:dyDescent="0.15">
      <c r="V977" s="272">
        <v>965</v>
      </c>
    </row>
    <row r="978" spans="22:22" x14ac:dyDescent="0.15">
      <c r="V978" s="272">
        <v>966</v>
      </c>
    </row>
    <row r="979" spans="22:22" x14ac:dyDescent="0.15">
      <c r="V979" s="272">
        <v>967</v>
      </c>
    </row>
    <row r="980" spans="22:22" x14ac:dyDescent="0.15">
      <c r="V980" s="272">
        <v>968</v>
      </c>
    </row>
    <row r="981" spans="22:22" x14ac:dyDescent="0.15">
      <c r="V981" s="272">
        <v>969</v>
      </c>
    </row>
    <row r="982" spans="22:22" x14ac:dyDescent="0.15">
      <c r="V982" s="272">
        <v>970</v>
      </c>
    </row>
    <row r="983" spans="22:22" x14ac:dyDescent="0.15">
      <c r="V983" s="272">
        <v>971</v>
      </c>
    </row>
    <row r="984" spans="22:22" x14ac:dyDescent="0.15">
      <c r="V984" s="272">
        <v>972</v>
      </c>
    </row>
    <row r="985" spans="22:22" x14ac:dyDescent="0.15">
      <c r="V985" s="272">
        <v>973</v>
      </c>
    </row>
    <row r="986" spans="22:22" x14ac:dyDescent="0.15">
      <c r="V986" s="272">
        <v>974</v>
      </c>
    </row>
    <row r="987" spans="22:22" x14ac:dyDescent="0.15">
      <c r="V987" s="272">
        <v>975</v>
      </c>
    </row>
    <row r="988" spans="22:22" x14ac:dyDescent="0.15">
      <c r="V988" s="272">
        <v>976</v>
      </c>
    </row>
    <row r="989" spans="22:22" x14ac:dyDescent="0.15">
      <c r="V989" s="272">
        <v>977</v>
      </c>
    </row>
    <row r="990" spans="22:22" x14ac:dyDescent="0.15">
      <c r="V990" s="272">
        <v>978</v>
      </c>
    </row>
    <row r="991" spans="22:22" x14ac:dyDescent="0.15">
      <c r="V991" s="272">
        <v>979</v>
      </c>
    </row>
    <row r="992" spans="22:22" x14ac:dyDescent="0.15">
      <c r="V992" s="272">
        <v>980</v>
      </c>
    </row>
    <row r="993" spans="22:22" x14ac:dyDescent="0.15">
      <c r="V993" s="272">
        <v>981</v>
      </c>
    </row>
    <row r="994" spans="22:22" x14ac:dyDescent="0.15">
      <c r="V994" s="272">
        <v>982</v>
      </c>
    </row>
    <row r="995" spans="22:22" x14ac:dyDescent="0.15">
      <c r="V995" s="272">
        <v>983</v>
      </c>
    </row>
    <row r="996" spans="22:22" x14ac:dyDescent="0.15">
      <c r="V996" s="272">
        <v>984</v>
      </c>
    </row>
    <row r="997" spans="22:22" x14ac:dyDescent="0.15">
      <c r="V997" s="272">
        <v>985</v>
      </c>
    </row>
    <row r="998" spans="22:22" x14ac:dyDescent="0.15">
      <c r="V998" s="272">
        <v>986</v>
      </c>
    </row>
    <row r="999" spans="22:22" x14ac:dyDescent="0.15">
      <c r="V999" s="272">
        <v>987</v>
      </c>
    </row>
    <row r="1000" spans="22:22" x14ac:dyDescent="0.15">
      <c r="V1000" s="272">
        <v>988</v>
      </c>
    </row>
    <row r="1001" spans="22:22" x14ac:dyDescent="0.15">
      <c r="V1001" s="272">
        <v>989</v>
      </c>
    </row>
    <row r="1002" spans="22:22" x14ac:dyDescent="0.15">
      <c r="V1002" s="272">
        <v>990</v>
      </c>
    </row>
    <row r="1003" spans="22:22" x14ac:dyDescent="0.15">
      <c r="V1003" s="272">
        <v>991</v>
      </c>
    </row>
    <row r="1004" spans="22:22" x14ac:dyDescent="0.15">
      <c r="V1004" s="272">
        <v>992</v>
      </c>
    </row>
    <row r="1005" spans="22:22" x14ac:dyDescent="0.15">
      <c r="V1005" s="272">
        <v>993</v>
      </c>
    </row>
    <row r="1006" spans="22:22" x14ac:dyDescent="0.15">
      <c r="V1006" s="272">
        <v>994</v>
      </c>
    </row>
    <row r="1007" spans="22:22" x14ac:dyDescent="0.15">
      <c r="V1007" s="272">
        <v>995</v>
      </c>
    </row>
    <row r="1008" spans="22:22" x14ac:dyDescent="0.15">
      <c r="V1008" s="272">
        <v>996</v>
      </c>
    </row>
    <row r="1009" spans="22:22" x14ac:dyDescent="0.15">
      <c r="V1009" s="272">
        <v>997</v>
      </c>
    </row>
    <row r="1010" spans="22:22" x14ac:dyDescent="0.15">
      <c r="V1010" s="272">
        <v>998</v>
      </c>
    </row>
    <row r="1011" spans="22:22" x14ac:dyDescent="0.15">
      <c r="V1011" s="272">
        <v>999</v>
      </c>
    </row>
    <row r="1012" spans="22:22" x14ac:dyDescent="0.15">
      <c r="V1012" s="272">
        <v>1000</v>
      </c>
    </row>
    <row r="1013" spans="22:22" x14ac:dyDescent="0.15">
      <c r="V1013" s="272">
        <v>1001</v>
      </c>
    </row>
    <row r="1014" spans="22:22" x14ac:dyDescent="0.15">
      <c r="V1014" s="272">
        <v>1002</v>
      </c>
    </row>
    <row r="1015" spans="22:22" x14ac:dyDescent="0.15">
      <c r="V1015" s="272">
        <v>1003</v>
      </c>
    </row>
    <row r="1016" spans="22:22" x14ac:dyDescent="0.15">
      <c r="V1016" s="272">
        <v>1004</v>
      </c>
    </row>
    <row r="1017" spans="22:22" x14ac:dyDescent="0.15">
      <c r="V1017" s="272">
        <v>1005</v>
      </c>
    </row>
    <row r="1018" spans="22:22" x14ac:dyDescent="0.15">
      <c r="V1018" s="272">
        <v>1006</v>
      </c>
    </row>
    <row r="1019" spans="22:22" x14ac:dyDescent="0.15">
      <c r="V1019" s="272">
        <v>1007</v>
      </c>
    </row>
    <row r="1020" spans="22:22" x14ac:dyDescent="0.15">
      <c r="V1020" s="272">
        <v>1008</v>
      </c>
    </row>
    <row r="1021" spans="22:22" x14ac:dyDescent="0.15">
      <c r="V1021" s="272">
        <v>1009</v>
      </c>
    </row>
    <row r="1022" spans="22:22" x14ac:dyDescent="0.15">
      <c r="V1022" s="272">
        <v>1010</v>
      </c>
    </row>
    <row r="1023" spans="22:22" x14ac:dyDescent="0.15">
      <c r="V1023" s="272">
        <v>1011</v>
      </c>
    </row>
    <row r="1024" spans="22:22" x14ac:dyDescent="0.15">
      <c r="V1024" s="272">
        <v>1012</v>
      </c>
    </row>
    <row r="1025" spans="22:22" x14ac:dyDescent="0.15">
      <c r="V1025" s="272">
        <v>1013</v>
      </c>
    </row>
    <row r="1026" spans="22:22" x14ac:dyDescent="0.15">
      <c r="V1026" s="272">
        <v>1014</v>
      </c>
    </row>
    <row r="1027" spans="22:22" x14ac:dyDescent="0.15">
      <c r="V1027" s="272">
        <v>1015</v>
      </c>
    </row>
    <row r="1028" spans="22:22" x14ac:dyDescent="0.15">
      <c r="V1028" s="272">
        <v>1016</v>
      </c>
    </row>
    <row r="1029" spans="22:22" x14ac:dyDescent="0.15">
      <c r="V1029" s="272">
        <v>1017</v>
      </c>
    </row>
    <row r="1030" spans="22:22" x14ac:dyDescent="0.15">
      <c r="V1030" s="272">
        <v>1018</v>
      </c>
    </row>
    <row r="1031" spans="22:22" x14ac:dyDescent="0.15">
      <c r="V1031" s="272">
        <v>1019</v>
      </c>
    </row>
    <row r="1032" spans="22:22" x14ac:dyDescent="0.15">
      <c r="V1032" s="272">
        <v>1020</v>
      </c>
    </row>
    <row r="1033" spans="22:22" x14ac:dyDescent="0.15">
      <c r="V1033" s="272">
        <v>1021</v>
      </c>
    </row>
    <row r="1034" spans="22:22" x14ac:dyDescent="0.15">
      <c r="V1034" s="272">
        <v>1022</v>
      </c>
    </row>
    <row r="1035" spans="22:22" x14ac:dyDescent="0.15">
      <c r="V1035" s="272">
        <v>1023</v>
      </c>
    </row>
    <row r="1036" spans="22:22" x14ac:dyDescent="0.15">
      <c r="V1036" s="272">
        <v>1024</v>
      </c>
    </row>
    <row r="1037" spans="22:22" x14ac:dyDescent="0.15">
      <c r="V1037" s="272">
        <v>1025</v>
      </c>
    </row>
    <row r="1038" spans="22:22" x14ac:dyDescent="0.15">
      <c r="V1038" s="272">
        <v>1026</v>
      </c>
    </row>
    <row r="1039" spans="22:22" x14ac:dyDescent="0.15">
      <c r="V1039" s="272">
        <v>1027</v>
      </c>
    </row>
    <row r="1040" spans="22:22" x14ac:dyDescent="0.15">
      <c r="V1040" s="272">
        <v>1028</v>
      </c>
    </row>
    <row r="1041" spans="22:22" x14ac:dyDescent="0.15">
      <c r="V1041" s="272">
        <v>1029</v>
      </c>
    </row>
    <row r="1042" spans="22:22" x14ac:dyDescent="0.15">
      <c r="V1042" s="272">
        <v>1030</v>
      </c>
    </row>
    <row r="1043" spans="22:22" x14ac:dyDescent="0.15">
      <c r="V1043" s="272">
        <v>1031</v>
      </c>
    </row>
    <row r="1044" spans="22:22" x14ac:dyDescent="0.15">
      <c r="V1044" s="272">
        <v>1032</v>
      </c>
    </row>
    <row r="1045" spans="22:22" x14ac:dyDescent="0.15">
      <c r="V1045" s="272">
        <v>1033</v>
      </c>
    </row>
    <row r="1046" spans="22:22" x14ac:dyDescent="0.15">
      <c r="V1046" s="272">
        <v>1034</v>
      </c>
    </row>
    <row r="1047" spans="22:22" x14ac:dyDescent="0.15">
      <c r="V1047" s="272">
        <v>1035</v>
      </c>
    </row>
    <row r="1048" spans="22:22" x14ac:dyDescent="0.15">
      <c r="V1048" s="272">
        <v>1036</v>
      </c>
    </row>
    <row r="1049" spans="22:22" x14ac:dyDescent="0.15">
      <c r="V1049" s="272">
        <v>1037</v>
      </c>
    </row>
    <row r="1050" spans="22:22" x14ac:dyDescent="0.15">
      <c r="V1050" s="272">
        <v>1038</v>
      </c>
    </row>
    <row r="1051" spans="22:22" x14ac:dyDescent="0.15">
      <c r="V1051" s="272">
        <v>1039</v>
      </c>
    </row>
    <row r="1052" spans="22:22" x14ac:dyDescent="0.15">
      <c r="V1052" s="272">
        <v>1040</v>
      </c>
    </row>
    <row r="1053" spans="22:22" x14ac:dyDescent="0.15">
      <c r="V1053" s="272">
        <v>1041</v>
      </c>
    </row>
    <row r="1054" spans="22:22" x14ac:dyDescent="0.15">
      <c r="V1054" s="272">
        <v>1042</v>
      </c>
    </row>
    <row r="1055" spans="22:22" x14ac:dyDescent="0.15">
      <c r="V1055" s="272">
        <v>1043</v>
      </c>
    </row>
    <row r="1056" spans="22:22" x14ac:dyDescent="0.15">
      <c r="V1056" s="272">
        <v>1044</v>
      </c>
    </row>
    <row r="1057" spans="22:22" x14ac:dyDescent="0.15">
      <c r="V1057" s="272">
        <v>1045</v>
      </c>
    </row>
    <row r="1058" spans="22:22" x14ac:dyDescent="0.15">
      <c r="V1058" s="272">
        <v>1046</v>
      </c>
    </row>
    <row r="1059" spans="22:22" x14ac:dyDescent="0.15">
      <c r="V1059" s="272">
        <v>1047</v>
      </c>
    </row>
    <row r="1060" spans="22:22" x14ac:dyDescent="0.15">
      <c r="V1060" s="272">
        <v>1048</v>
      </c>
    </row>
    <row r="1061" spans="22:22" x14ac:dyDescent="0.15">
      <c r="V1061" s="272">
        <v>1049</v>
      </c>
    </row>
    <row r="1062" spans="22:22" x14ac:dyDescent="0.15">
      <c r="V1062" s="272">
        <v>1050</v>
      </c>
    </row>
    <row r="1063" spans="22:22" x14ac:dyDescent="0.15">
      <c r="V1063" s="272">
        <v>1051</v>
      </c>
    </row>
    <row r="1064" spans="22:22" x14ac:dyDescent="0.15">
      <c r="V1064" s="272">
        <v>1052</v>
      </c>
    </row>
    <row r="1065" spans="22:22" x14ac:dyDescent="0.15">
      <c r="V1065" s="272">
        <v>1053</v>
      </c>
    </row>
    <row r="1066" spans="22:22" x14ac:dyDescent="0.15">
      <c r="V1066" s="272">
        <v>1054</v>
      </c>
    </row>
    <row r="1067" spans="22:22" x14ac:dyDescent="0.15">
      <c r="V1067" s="272">
        <v>1055</v>
      </c>
    </row>
    <row r="1068" spans="22:22" x14ac:dyDescent="0.15">
      <c r="V1068" s="272">
        <v>1056</v>
      </c>
    </row>
    <row r="1069" spans="22:22" x14ac:dyDescent="0.15">
      <c r="V1069" s="272">
        <v>1057</v>
      </c>
    </row>
    <row r="1070" spans="22:22" x14ac:dyDescent="0.15">
      <c r="V1070" s="272">
        <v>1058</v>
      </c>
    </row>
    <row r="1071" spans="22:22" x14ac:dyDescent="0.15">
      <c r="V1071" s="272">
        <v>1059</v>
      </c>
    </row>
    <row r="1072" spans="22:22" x14ac:dyDescent="0.15">
      <c r="V1072" s="272">
        <v>1060</v>
      </c>
    </row>
    <row r="1073" spans="22:22" x14ac:dyDescent="0.15">
      <c r="V1073" s="272">
        <v>1061</v>
      </c>
    </row>
    <row r="1074" spans="22:22" x14ac:dyDescent="0.15">
      <c r="V1074" s="272">
        <v>1062</v>
      </c>
    </row>
    <row r="1075" spans="22:22" x14ac:dyDescent="0.15">
      <c r="V1075" s="272">
        <v>1063</v>
      </c>
    </row>
    <row r="1076" spans="22:22" x14ac:dyDescent="0.15">
      <c r="V1076" s="272">
        <v>1064</v>
      </c>
    </row>
    <row r="1077" spans="22:22" x14ac:dyDescent="0.15">
      <c r="V1077" s="272">
        <v>1065</v>
      </c>
    </row>
    <row r="1078" spans="22:22" x14ac:dyDescent="0.15">
      <c r="V1078" s="272">
        <v>1066</v>
      </c>
    </row>
    <row r="1079" spans="22:22" x14ac:dyDescent="0.15">
      <c r="V1079" s="272">
        <v>1067</v>
      </c>
    </row>
    <row r="1080" spans="22:22" x14ac:dyDescent="0.15">
      <c r="V1080" s="272">
        <v>1068</v>
      </c>
    </row>
    <row r="1081" spans="22:22" x14ac:dyDescent="0.15">
      <c r="V1081" s="272">
        <v>1069</v>
      </c>
    </row>
    <row r="1082" spans="22:22" x14ac:dyDescent="0.15">
      <c r="V1082" s="272">
        <v>1070</v>
      </c>
    </row>
    <row r="1083" spans="22:22" x14ac:dyDescent="0.15">
      <c r="V1083" s="272">
        <v>1071</v>
      </c>
    </row>
    <row r="1084" spans="22:22" x14ac:dyDescent="0.15">
      <c r="V1084" s="272">
        <v>1072</v>
      </c>
    </row>
    <row r="1085" spans="22:22" x14ac:dyDescent="0.15">
      <c r="V1085" s="272">
        <v>1073</v>
      </c>
    </row>
    <row r="1086" spans="22:22" x14ac:dyDescent="0.15">
      <c r="V1086" s="272">
        <v>1074</v>
      </c>
    </row>
    <row r="1087" spans="22:22" x14ac:dyDescent="0.15">
      <c r="V1087" s="272">
        <v>1075</v>
      </c>
    </row>
    <row r="1088" spans="22:22" x14ac:dyDescent="0.15">
      <c r="V1088" s="272">
        <v>1076</v>
      </c>
    </row>
    <row r="1089" spans="22:22" x14ac:dyDescent="0.15">
      <c r="V1089" s="272">
        <v>1077</v>
      </c>
    </row>
    <row r="1090" spans="22:22" x14ac:dyDescent="0.15">
      <c r="V1090" s="272">
        <v>1078</v>
      </c>
    </row>
    <row r="1091" spans="22:22" x14ac:dyDescent="0.15">
      <c r="V1091" s="272">
        <v>1079</v>
      </c>
    </row>
    <row r="1092" spans="22:22" x14ac:dyDescent="0.15">
      <c r="V1092" s="272">
        <v>1080</v>
      </c>
    </row>
    <row r="1093" spans="22:22" x14ac:dyDescent="0.15">
      <c r="V1093" s="272">
        <v>1081</v>
      </c>
    </row>
    <row r="1094" spans="22:22" x14ac:dyDescent="0.15">
      <c r="V1094" s="272">
        <v>1082</v>
      </c>
    </row>
    <row r="1095" spans="22:22" x14ac:dyDescent="0.15">
      <c r="V1095" s="272">
        <v>1083</v>
      </c>
    </row>
    <row r="1096" spans="22:22" x14ac:dyDescent="0.15">
      <c r="V1096" s="272">
        <v>1084</v>
      </c>
    </row>
    <row r="1097" spans="22:22" x14ac:dyDescent="0.15">
      <c r="V1097" s="272">
        <v>1085</v>
      </c>
    </row>
    <row r="1098" spans="22:22" x14ac:dyDescent="0.15">
      <c r="V1098" s="272">
        <v>1086</v>
      </c>
    </row>
    <row r="1099" spans="22:22" x14ac:dyDescent="0.15">
      <c r="V1099" s="272">
        <v>1087</v>
      </c>
    </row>
    <row r="1100" spans="22:22" x14ac:dyDescent="0.15">
      <c r="V1100" s="272">
        <v>1088</v>
      </c>
    </row>
    <row r="1101" spans="22:22" x14ac:dyDescent="0.15">
      <c r="V1101" s="272">
        <v>1089</v>
      </c>
    </row>
    <row r="1102" spans="22:22" x14ac:dyDescent="0.15">
      <c r="V1102" s="272">
        <v>1090</v>
      </c>
    </row>
    <row r="1103" spans="22:22" x14ac:dyDescent="0.15">
      <c r="V1103" s="272">
        <v>1091</v>
      </c>
    </row>
    <row r="1104" spans="22:22" x14ac:dyDescent="0.15">
      <c r="V1104" s="272">
        <v>1092</v>
      </c>
    </row>
    <row r="1105" spans="22:22" x14ac:dyDescent="0.15">
      <c r="V1105" s="272">
        <v>1093</v>
      </c>
    </row>
    <row r="1106" spans="22:22" x14ac:dyDescent="0.15">
      <c r="V1106" s="272">
        <v>1094</v>
      </c>
    </row>
    <row r="1107" spans="22:22" x14ac:dyDescent="0.15">
      <c r="V1107" s="272">
        <v>1095</v>
      </c>
    </row>
    <row r="1108" spans="22:22" x14ac:dyDescent="0.15">
      <c r="V1108" s="272">
        <v>1096</v>
      </c>
    </row>
    <row r="1109" spans="22:22" x14ac:dyDescent="0.15">
      <c r="V1109" s="272">
        <v>1097</v>
      </c>
    </row>
    <row r="1110" spans="22:22" x14ac:dyDescent="0.15">
      <c r="V1110" s="272">
        <v>1098</v>
      </c>
    </row>
    <row r="1111" spans="22:22" x14ac:dyDescent="0.15">
      <c r="V1111" s="272">
        <v>1099</v>
      </c>
    </row>
    <row r="1112" spans="22:22" x14ac:dyDescent="0.15">
      <c r="V1112" s="272">
        <v>1100</v>
      </c>
    </row>
    <row r="1113" spans="22:22" x14ac:dyDescent="0.15">
      <c r="V1113" s="272">
        <v>1101</v>
      </c>
    </row>
    <row r="1114" spans="22:22" x14ac:dyDescent="0.15">
      <c r="V1114" s="272">
        <v>1102</v>
      </c>
    </row>
    <row r="1115" spans="22:22" x14ac:dyDescent="0.15">
      <c r="V1115" s="272">
        <v>1103</v>
      </c>
    </row>
    <row r="1116" spans="22:22" x14ac:dyDescent="0.15">
      <c r="V1116" s="272">
        <v>1104</v>
      </c>
    </row>
    <row r="1117" spans="22:22" x14ac:dyDescent="0.15">
      <c r="V1117" s="272">
        <v>1105</v>
      </c>
    </row>
    <row r="1118" spans="22:22" x14ac:dyDescent="0.15">
      <c r="V1118" s="272">
        <v>1106</v>
      </c>
    </row>
    <row r="1119" spans="22:22" x14ac:dyDescent="0.15">
      <c r="V1119" s="272">
        <v>1107</v>
      </c>
    </row>
    <row r="1120" spans="22:22" x14ac:dyDescent="0.15">
      <c r="V1120" s="272">
        <v>1108</v>
      </c>
    </row>
    <row r="1121" spans="22:22" x14ac:dyDescent="0.15">
      <c r="V1121" s="272">
        <v>1109</v>
      </c>
    </row>
    <row r="1122" spans="22:22" x14ac:dyDescent="0.15">
      <c r="V1122" s="272">
        <v>1110</v>
      </c>
    </row>
    <row r="1123" spans="22:22" x14ac:dyDescent="0.15">
      <c r="V1123" s="272">
        <v>1111</v>
      </c>
    </row>
    <row r="1124" spans="22:22" x14ac:dyDescent="0.15">
      <c r="V1124" s="272">
        <v>1112</v>
      </c>
    </row>
    <row r="1125" spans="22:22" x14ac:dyDescent="0.15">
      <c r="V1125" s="272">
        <v>1113</v>
      </c>
    </row>
    <row r="1126" spans="22:22" x14ac:dyDescent="0.15">
      <c r="V1126" s="272">
        <v>1114</v>
      </c>
    </row>
    <row r="1127" spans="22:22" x14ac:dyDescent="0.15">
      <c r="V1127" s="272">
        <v>1115</v>
      </c>
    </row>
    <row r="1128" spans="22:22" x14ac:dyDescent="0.15">
      <c r="V1128" s="272">
        <v>1116</v>
      </c>
    </row>
    <row r="1129" spans="22:22" x14ac:dyDescent="0.15">
      <c r="V1129" s="272">
        <v>1117</v>
      </c>
    </row>
    <row r="1130" spans="22:22" x14ac:dyDescent="0.15">
      <c r="V1130" s="272">
        <v>1118</v>
      </c>
    </row>
    <row r="1131" spans="22:22" x14ac:dyDescent="0.15">
      <c r="V1131" s="272">
        <v>1119</v>
      </c>
    </row>
    <row r="1132" spans="22:22" x14ac:dyDescent="0.15">
      <c r="V1132" s="272">
        <v>1120</v>
      </c>
    </row>
    <row r="1133" spans="22:22" x14ac:dyDescent="0.15">
      <c r="V1133" s="272">
        <v>1121</v>
      </c>
    </row>
    <row r="1134" spans="22:22" x14ac:dyDescent="0.15">
      <c r="V1134" s="272">
        <v>1122</v>
      </c>
    </row>
    <row r="1135" spans="22:22" x14ac:dyDescent="0.15">
      <c r="V1135" s="272">
        <v>1123</v>
      </c>
    </row>
    <row r="1136" spans="22:22" x14ac:dyDescent="0.15">
      <c r="V1136" s="272">
        <v>1124</v>
      </c>
    </row>
    <row r="1137" spans="22:22" x14ac:dyDescent="0.15">
      <c r="V1137" s="272">
        <v>1125</v>
      </c>
    </row>
    <row r="1138" spans="22:22" x14ac:dyDescent="0.15">
      <c r="V1138" s="272">
        <v>1126</v>
      </c>
    </row>
    <row r="1139" spans="22:22" x14ac:dyDescent="0.15">
      <c r="V1139" s="272">
        <v>1127</v>
      </c>
    </row>
    <row r="1140" spans="22:22" x14ac:dyDescent="0.15">
      <c r="V1140" s="272">
        <v>1128</v>
      </c>
    </row>
    <row r="1141" spans="22:22" x14ac:dyDescent="0.15">
      <c r="V1141" s="272">
        <v>1129</v>
      </c>
    </row>
    <row r="1142" spans="22:22" x14ac:dyDescent="0.15">
      <c r="V1142" s="272">
        <v>1130</v>
      </c>
    </row>
    <row r="1143" spans="22:22" x14ac:dyDescent="0.15">
      <c r="V1143" s="272">
        <v>1131</v>
      </c>
    </row>
    <row r="1144" spans="22:22" x14ac:dyDescent="0.15">
      <c r="V1144" s="272">
        <v>1132</v>
      </c>
    </row>
    <row r="1145" spans="22:22" x14ac:dyDescent="0.15">
      <c r="V1145" s="272">
        <v>1133</v>
      </c>
    </row>
    <row r="1146" spans="22:22" x14ac:dyDescent="0.15">
      <c r="V1146" s="272">
        <v>1134</v>
      </c>
    </row>
    <row r="1147" spans="22:22" x14ac:dyDescent="0.15">
      <c r="V1147" s="272">
        <v>1135</v>
      </c>
    </row>
    <row r="1148" spans="22:22" x14ac:dyDescent="0.15">
      <c r="V1148" s="272">
        <v>1136</v>
      </c>
    </row>
    <row r="1149" spans="22:22" x14ac:dyDescent="0.15">
      <c r="V1149" s="272">
        <v>1137</v>
      </c>
    </row>
    <row r="1150" spans="22:22" x14ac:dyDescent="0.15">
      <c r="V1150" s="272">
        <v>1138</v>
      </c>
    </row>
    <row r="1151" spans="22:22" x14ac:dyDescent="0.15">
      <c r="V1151" s="272">
        <v>1139</v>
      </c>
    </row>
    <row r="1152" spans="22:22" x14ac:dyDescent="0.15">
      <c r="V1152" s="272">
        <v>1140</v>
      </c>
    </row>
    <row r="1153" spans="22:22" x14ac:dyDescent="0.15">
      <c r="V1153" s="272">
        <v>1141</v>
      </c>
    </row>
    <row r="1154" spans="22:22" x14ac:dyDescent="0.15">
      <c r="V1154" s="272">
        <v>1142</v>
      </c>
    </row>
    <row r="1155" spans="22:22" x14ac:dyDescent="0.15">
      <c r="V1155" s="272">
        <v>1143</v>
      </c>
    </row>
    <row r="1156" spans="22:22" x14ac:dyDescent="0.15">
      <c r="V1156" s="272">
        <v>1144</v>
      </c>
    </row>
    <row r="1157" spans="22:22" x14ac:dyDescent="0.15">
      <c r="V1157" s="272">
        <v>1145</v>
      </c>
    </row>
    <row r="1158" spans="22:22" x14ac:dyDescent="0.15">
      <c r="V1158" s="272">
        <v>1146</v>
      </c>
    </row>
    <row r="1159" spans="22:22" x14ac:dyDescent="0.15">
      <c r="V1159" s="272">
        <v>1147</v>
      </c>
    </row>
    <row r="1160" spans="22:22" x14ac:dyDescent="0.15">
      <c r="V1160" s="272">
        <v>1148</v>
      </c>
    </row>
    <row r="1161" spans="22:22" x14ac:dyDescent="0.15">
      <c r="V1161" s="272">
        <v>1149</v>
      </c>
    </row>
    <row r="1162" spans="22:22" x14ac:dyDescent="0.15">
      <c r="V1162" s="272">
        <v>1150</v>
      </c>
    </row>
    <row r="1163" spans="22:22" x14ac:dyDescent="0.15">
      <c r="V1163" s="272">
        <v>1151</v>
      </c>
    </row>
    <row r="1164" spans="22:22" x14ac:dyDescent="0.15">
      <c r="V1164" s="272">
        <v>1152</v>
      </c>
    </row>
    <row r="1165" spans="22:22" x14ac:dyDescent="0.15">
      <c r="V1165" s="272">
        <v>1153</v>
      </c>
    </row>
    <row r="1166" spans="22:22" x14ac:dyDescent="0.15">
      <c r="V1166" s="272">
        <v>1154</v>
      </c>
    </row>
    <row r="1167" spans="22:22" x14ac:dyDescent="0.15">
      <c r="V1167" s="272">
        <v>1155</v>
      </c>
    </row>
    <row r="1168" spans="22:22" x14ac:dyDescent="0.15">
      <c r="V1168" s="272">
        <v>1156</v>
      </c>
    </row>
    <row r="1169" spans="22:22" x14ac:dyDescent="0.15">
      <c r="V1169" s="272">
        <v>1157</v>
      </c>
    </row>
    <row r="1170" spans="22:22" x14ac:dyDescent="0.15">
      <c r="V1170" s="272">
        <v>1158</v>
      </c>
    </row>
    <row r="1171" spans="22:22" x14ac:dyDescent="0.15">
      <c r="V1171" s="272">
        <v>1159</v>
      </c>
    </row>
    <row r="1172" spans="22:22" x14ac:dyDescent="0.15">
      <c r="V1172" s="272">
        <v>1160</v>
      </c>
    </row>
    <row r="1173" spans="22:22" x14ac:dyDescent="0.15">
      <c r="V1173" s="272">
        <v>1161</v>
      </c>
    </row>
    <row r="1174" spans="22:22" x14ac:dyDescent="0.15">
      <c r="V1174" s="272">
        <v>1162</v>
      </c>
    </row>
    <row r="1175" spans="22:22" x14ac:dyDescent="0.15">
      <c r="V1175" s="272">
        <v>1163</v>
      </c>
    </row>
    <row r="1176" spans="22:22" x14ac:dyDescent="0.15">
      <c r="V1176" s="272">
        <v>1164</v>
      </c>
    </row>
    <row r="1177" spans="22:22" x14ac:dyDescent="0.15">
      <c r="V1177" s="272">
        <v>1165</v>
      </c>
    </row>
    <row r="1178" spans="22:22" x14ac:dyDescent="0.15">
      <c r="V1178" s="272">
        <v>1166</v>
      </c>
    </row>
    <row r="1179" spans="22:22" x14ac:dyDescent="0.15">
      <c r="V1179" s="272">
        <v>1167</v>
      </c>
    </row>
    <row r="1180" spans="22:22" x14ac:dyDescent="0.15">
      <c r="V1180" s="272">
        <v>1168</v>
      </c>
    </row>
    <row r="1181" spans="22:22" x14ac:dyDescent="0.15">
      <c r="V1181" s="272">
        <v>1169</v>
      </c>
    </row>
    <row r="1182" spans="22:22" x14ac:dyDescent="0.15">
      <c r="V1182" s="272">
        <v>1170</v>
      </c>
    </row>
    <row r="1183" spans="22:22" x14ac:dyDescent="0.15">
      <c r="V1183" s="272">
        <v>1171</v>
      </c>
    </row>
    <row r="1184" spans="22:22" x14ac:dyDescent="0.15">
      <c r="V1184" s="272">
        <v>1172</v>
      </c>
    </row>
    <row r="1185" spans="22:22" x14ac:dyDescent="0.15">
      <c r="V1185" s="272">
        <v>1173</v>
      </c>
    </row>
    <row r="1186" spans="22:22" x14ac:dyDescent="0.15">
      <c r="V1186" s="272">
        <v>1174</v>
      </c>
    </row>
    <row r="1187" spans="22:22" x14ac:dyDescent="0.15">
      <c r="V1187" s="272">
        <v>1175</v>
      </c>
    </row>
    <row r="1188" spans="22:22" x14ac:dyDescent="0.15">
      <c r="V1188" s="272">
        <v>1176</v>
      </c>
    </row>
    <row r="1189" spans="22:22" x14ac:dyDescent="0.15">
      <c r="V1189" s="272">
        <v>1177</v>
      </c>
    </row>
    <row r="1190" spans="22:22" x14ac:dyDescent="0.15">
      <c r="V1190" s="272">
        <v>1178</v>
      </c>
    </row>
    <row r="1191" spans="22:22" x14ac:dyDescent="0.15">
      <c r="V1191" s="272">
        <v>1179</v>
      </c>
    </row>
    <row r="1192" spans="22:22" x14ac:dyDescent="0.15">
      <c r="V1192" s="272">
        <v>1180</v>
      </c>
    </row>
    <row r="1193" spans="22:22" x14ac:dyDescent="0.15">
      <c r="V1193" s="272">
        <v>1181</v>
      </c>
    </row>
    <row r="1194" spans="22:22" x14ac:dyDescent="0.15">
      <c r="V1194" s="272">
        <v>1182</v>
      </c>
    </row>
    <row r="1195" spans="22:22" x14ac:dyDescent="0.15">
      <c r="V1195" s="272">
        <v>1183</v>
      </c>
    </row>
    <row r="1196" spans="22:22" x14ac:dyDescent="0.15">
      <c r="V1196" s="272">
        <v>1184</v>
      </c>
    </row>
    <row r="1197" spans="22:22" x14ac:dyDescent="0.15">
      <c r="V1197" s="272">
        <v>1185</v>
      </c>
    </row>
    <row r="1198" spans="22:22" x14ac:dyDescent="0.15">
      <c r="V1198" s="272">
        <v>1186</v>
      </c>
    </row>
    <row r="1199" spans="22:22" x14ac:dyDescent="0.15">
      <c r="V1199" s="272">
        <v>1187</v>
      </c>
    </row>
    <row r="1200" spans="22:22" x14ac:dyDescent="0.15">
      <c r="V1200" s="272">
        <v>1188</v>
      </c>
    </row>
    <row r="1201" spans="22:22" x14ac:dyDescent="0.15">
      <c r="V1201" s="272">
        <v>1189</v>
      </c>
    </row>
    <row r="1202" spans="22:22" x14ac:dyDescent="0.15">
      <c r="V1202" s="272">
        <v>1190</v>
      </c>
    </row>
    <row r="1203" spans="22:22" x14ac:dyDescent="0.15">
      <c r="V1203" s="272">
        <v>1191</v>
      </c>
    </row>
    <row r="1204" spans="22:22" x14ac:dyDescent="0.15">
      <c r="V1204" s="272">
        <v>1192</v>
      </c>
    </row>
    <row r="1205" spans="22:22" x14ac:dyDescent="0.15">
      <c r="V1205" s="272">
        <v>1193</v>
      </c>
    </row>
    <row r="1206" spans="22:22" x14ac:dyDescent="0.15">
      <c r="V1206" s="272">
        <v>1194</v>
      </c>
    </row>
    <row r="1207" spans="22:22" x14ac:dyDescent="0.15">
      <c r="V1207" s="272">
        <v>1195</v>
      </c>
    </row>
    <row r="1208" spans="22:22" x14ac:dyDescent="0.15">
      <c r="V1208" s="272">
        <v>1196</v>
      </c>
    </row>
    <row r="1209" spans="22:22" x14ac:dyDescent="0.15">
      <c r="V1209" s="272">
        <v>1197</v>
      </c>
    </row>
    <row r="1210" spans="22:22" x14ac:dyDescent="0.15">
      <c r="V1210" s="272">
        <v>1198</v>
      </c>
    </row>
    <row r="1211" spans="22:22" x14ac:dyDescent="0.15">
      <c r="V1211" s="272">
        <v>1199</v>
      </c>
    </row>
    <row r="1212" spans="22:22" x14ac:dyDescent="0.15">
      <c r="V1212" s="272">
        <v>1200</v>
      </c>
    </row>
    <row r="1213" spans="22:22" x14ac:dyDescent="0.15">
      <c r="V1213" s="272">
        <v>1201</v>
      </c>
    </row>
    <row r="1214" spans="22:22" x14ac:dyDescent="0.15">
      <c r="V1214" s="272">
        <v>1202</v>
      </c>
    </row>
    <row r="1215" spans="22:22" x14ac:dyDescent="0.15">
      <c r="V1215" s="272">
        <v>1203</v>
      </c>
    </row>
    <row r="1216" spans="22:22" x14ac:dyDescent="0.15">
      <c r="V1216" s="272">
        <v>1204</v>
      </c>
    </row>
    <row r="1217" spans="22:22" x14ac:dyDescent="0.15">
      <c r="V1217" s="272">
        <v>1205</v>
      </c>
    </row>
    <row r="1218" spans="22:22" x14ac:dyDescent="0.15">
      <c r="V1218" s="272">
        <v>1206</v>
      </c>
    </row>
    <row r="1219" spans="22:22" x14ac:dyDescent="0.15">
      <c r="V1219" s="272">
        <v>1207</v>
      </c>
    </row>
    <row r="1220" spans="22:22" x14ac:dyDescent="0.15">
      <c r="V1220" s="272">
        <v>1208</v>
      </c>
    </row>
    <row r="1221" spans="22:22" x14ac:dyDescent="0.15">
      <c r="V1221" s="272">
        <v>1209</v>
      </c>
    </row>
    <row r="1222" spans="22:22" x14ac:dyDescent="0.15">
      <c r="V1222" s="272">
        <v>1210</v>
      </c>
    </row>
    <row r="1223" spans="22:22" x14ac:dyDescent="0.15">
      <c r="V1223" s="272">
        <v>1211</v>
      </c>
    </row>
    <row r="1224" spans="22:22" x14ac:dyDescent="0.15">
      <c r="V1224" s="272">
        <v>1212</v>
      </c>
    </row>
    <row r="1225" spans="22:22" x14ac:dyDescent="0.15">
      <c r="V1225" s="272">
        <v>1213</v>
      </c>
    </row>
    <row r="1226" spans="22:22" x14ac:dyDescent="0.15">
      <c r="V1226" s="272">
        <v>1214</v>
      </c>
    </row>
    <row r="1227" spans="22:22" x14ac:dyDescent="0.15">
      <c r="V1227" s="272">
        <v>1215</v>
      </c>
    </row>
    <row r="1228" spans="22:22" x14ac:dyDescent="0.15">
      <c r="V1228" s="272">
        <v>1216</v>
      </c>
    </row>
    <row r="1229" spans="22:22" x14ac:dyDescent="0.15">
      <c r="V1229" s="272">
        <v>1217</v>
      </c>
    </row>
    <row r="1230" spans="22:22" x14ac:dyDescent="0.15">
      <c r="V1230" s="272">
        <v>1218</v>
      </c>
    </row>
    <row r="1231" spans="22:22" x14ac:dyDescent="0.15">
      <c r="V1231" s="272">
        <v>1219</v>
      </c>
    </row>
    <row r="1232" spans="22:22" x14ac:dyDescent="0.15">
      <c r="V1232" s="272">
        <v>1220</v>
      </c>
    </row>
    <row r="1233" spans="22:22" x14ac:dyDescent="0.15">
      <c r="V1233" s="272">
        <v>1221</v>
      </c>
    </row>
    <row r="1234" spans="22:22" x14ac:dyDescent="0.15">
      <c r="V1234" s="272">
        <v>1222</v>
      </c>
    </row>
    <row r="1235" spans="22:22" x14ac:dyDescent="0.15">
      <c r="V1235" s="272">
        <v>1223</v>
      </c>
    </row>
    <row r="1236" spans="22:22" x14ac:dyDescent="0.15">
      <c r="V1236" s="272">
        <v>1224</v>
      </c>
    </row>
    <row r="1237" spans="22:22" x14ac:dyDescent="0.15">
      <c r="V1237" s="272">
        <v>1225</v>
      </c>
    </row>
    <row r="1238" spans="22:22" x14ac:dyDescent="0.15">
      <c r="V1238" s="272">
        <v>1226</v>
      </c>
    </row>
    <row r="1239" spans="22:22" x14ac:dyDescent="0.15">
      <c r="V1239" s="272">
        <v>1227</v>
      </c>
    </row>
    <row r="1240" spans="22:22" x14ac:dyDescent="0.15">
      <c r="V1240" s="272">
        <v>1228</v>
      </c>
    </row>
    <row r="1241" spans="22:22" x14ac:dyDescent="0.15">
      <c r="V1241" s="272">
        <v>1229</v>
      </c>
    </row>
    <row r="1242" spans="22:22" x14ac:dyDescent="0.15">
      <c r="V1242" s="272">
        <v>1230</v>
      </c>
    </row>
    <row r="1243" spans="22:22" x14ac:dyDescent="0.15">
      <c r="V1243" s="272">
        <v>1231</v>
      </c>
    </row>
    <row r="1244" spans="22:22" x14ac:dyDescent="0.15">
      <c r="V1244" s="272">
        <v>1232</v>
      </c>
    </row>
    <row r="1245" spans="22:22" x14ac:dyDescent="0.15">
      <c r="V1245" s="272">
        <v>1233</v>
      </c>
    </row>
    <row r="1246" spans="22:22" x14ac:dyDescent="0.15">
      <c r="V1246" s="272">
        <v>1234</v>
      </c>
    </row>
    <row r="1247" spans="22:22" x14ac:dyDescent="0.15">
      <c r="V1247" s="272">
        <v>1235</v>
      </c>
    </row>
    <row r="1248" spans="22:22" x14ac:dyDescent="0.15">
      <c r="V1248" s="272">
        <v>1236</v>
      </c>
    </row>
    <row r="1249" spans="22:22" x14ac:dyDescent="0.15">
      <c r="V1249" s="272">
        <v>1237</v>
      </c>
    </row>
    <row r="1250" spans="22:22" x14ac:dyDescent="0.15">
      <c r="V1250" s="272">
        <v>1238</v>
      </c>
    </row>
    <row r="1251" spans="22:22" x14ac:dyDescent="0.15">
      <c r="V1251" s="272">
        <v>1239</v>
      </c>
    </row>
    <row r="1252" spans="22:22" x14ac:dyDescent="0.15">
      <c r="V1252" s="272">
        <v>1240</v>
      </c>
    </row>
    <row r="1253" spans="22:22" x14ac:dyDescent="0.15">
      <c r="V1253" s="272">
        <v>1241</v>
      </c>
    </row>
    <row r="1254" spans="22:22" x14ac:dyDescent="0.15">
      <c r="V1254" s="272">
        <v>1242</v>
      </c>
    </row>
    <row r="1255" spans="22:22" x14ac:dyDescent="0.15">
      <c r="V1255" s="272">
        <v>1243</v>
      </c>
    </row>
    <row r="1256" spans="22:22" x14ac:dyDescent="0.15">
      <c r="V1256" s="272">
        <v>1244</v>
      </c>
    </row>
    <row r="1257" spans="22:22" x14ac:dyDescent="0.15">
      <c r="V1257" s="272">
        <v>1245</v>
      </c>
    </row>
    <row r="1258" spans="22:22" x14ac:dyDescent="0.15">
      <c r="V1258" s="272">
        <v>1246</v>
      </c>
    </row>
    <row r="1259" spans="22:22" x14ac:dyDescent="0.15">
      <c r="V1259" s="272">
        <v>1247</v>
      </c>
    </row>
    <row r="1260" spans="22:22" x14ac:dyDescent="0.15">
      <c r="V1260" s="272">
        <v>1248</v>
      </c>
    </row>
    <row r="1261" spans="22:22" x14ac:dyDescent="0.15">
      <c r="V1261" s="272">
        <v>1249</v>
      </c>
    </row>
    <row r="1262" spans="22:22" x14ac:dyDescent="0.15">
      <c r="V1262" s="272">
        <v>1250</v>
      </c>
    </row>
    <row r="1263" spans="22:22" x14ac:dyDescent="0.15">
      <c r="V1263" s="272">
        <v>1251</v>
      </c>
    </row>
    <row r="1264" spans="22:22" x14ac:dyDescent="0.15">
      <c r="V1264" s="272">
        <v>1252</v>
      </c>
    </row>
    <row r="1265" spans="22:22" x14ac:dyDescent="0.15">
      <c r="V1265" s="272">
        <v>1253</v>
      </c>
    </row>
    <row r="1266" spans="22:22" x14ac:dyDescent="0.15">
      <c r="V1266" s="272">
        <v>1254</v>
      </c>
    </row>
    <row r="1267" spans="22:22" x14ac:dyDescent="0.15">
      <c r="V1267" s="272">
        <v>1255</v>
      </c>
    </row>
    <row r="1268" spans="22:22" x14ac:dyDescent="0.15">
      <c r="V1268" s="272">
        <v>1256</v>
      </c>
    </row>
    <row r="1269" spans="22:22" x14ac:dyDescent="0.15">
      <c r="V1269" s="272">
        <v>1257</v>
      </c>
    </row>
    <row r="1270" spans="22:22" x14ac:dyDescent="0.15">
      <c r="V1270" s="272">
        <v>1258</v>
      </c>
    </row>
    <row r="1271" spans="22:22" x14ac:dyDescent="0.15">
      <c r="V1271" s="272">
        <v>1259</v>
      </c>
    </row>
    <row r="1272" spans="22:22" x14ac:dyDescent="0.15">
      <c r="V1272" s="272">
        <v>1260</v>
      </c>
    </row>
    <row r="1273" spans="22:22" x14ac:dyDescent="0.15">
      <c r="V1273" s="272">
        <v>1261</v>
      </c>
    </row>
    <row r="1274" spans="22:22" x14ac:dyDescent="0.15">
      <c r="V1274" s="272">
        <v>1262</v>
      </c>
    </row>
    <row r="1275" spans="22:22" x14ac:dyDescent="0.15">
      <c r="V1275" s="272">
        <v>1263</v>
      </c>
    </row>
    <row r="1276" spans="22:22" x14ac:dyDescent="0.15">
      <c r="V1276" s="272">
        <v>1264</v>
      </c>
    </row>
    <row r="1277" spans="22:22" x14ac:dyDescent="0.15">
      <c r="V1277" s="272">
        <v>1265</v>
      </c>
    </row>
    <row r="1278" spans="22:22" x14ac:dyDescent="0.15">
      <c r="V1278" s="272">
        <v>1266</v>
      </c>
    </row>
    <row r="1279" spans="22:22" x14ac:dyDescent="0.15">
      <c r="V1279" s="272">
        <v>1267</v>
      </c>
    </row>
    <row r="1280" spans="22:22" x14ac:dyDescent="0.15">
      <c r="V1280" s="272">
        <v>1268</v>
      </c>
    </row>
    <row r="1281" spans="22:22" x14ac:dyDescent="0.15">
      <c r="V1281" s="272">
        <v>1269</v>
      </c>
    </row>
    <row r="1282" spans="22:22" x14ac:dyDescent="0.15">
      <c r="V1282" s="272">
        <v>1270</v>
      </c>
    </row>
    <row r="1283" spans="22:22" x14ac:dyDescent="0.15">
      <c r="V1283" s="272">
        <v>1271</v>
      </c>
    </row>
    <row r="1284" spans="22:22" x14ac:dyDescent="0.15">
      <c r="V1284" s="272">
        <v>1272</v>
      </c>
    </row>
    <row r="1285" spans="22:22" x14ac:dyDescent="0.15">
      <c r="V1285" s="272">
        <v>1273</v>
      </c>
    </row>
    <row r="1286" spans="22:22" x14ac:dyDescent="0.15">
      <c r="V1286" s="272">
        <v>1274</v>
      </c>
    </row>
    <row r="1287" spans="22:22" x14ac:dyDescent="0.15">
      <c r="V1287" s="272">
        <v>1275</v>
      </c>
    </row>
    <row r="1288" spans="22:22" x14ac:dyDescent="0.15">
      <c r="V1288" s="272">
        <v>1276</v>
      </c>
    </row>
    <row r="1289" spans="22:22" x14ac:dyDescent="0.15">
      <c r="V1289" s="272">
        <v>1277</v>
      </c>
    </row>
    <row r="1290" spans="22:22" x14ac:dyDescent="0.15">
      <c r="V1290" s="272">
        <v>1278</v>
      </c>
    </row>
    <row r="1291" spans="22:22" x14ac:dyDescent="0.15">
      <c r="V1291" s="272">
        <v>1279</v>
      </c>
    </row>
    <row r="1292" spans="22:22" x14ac:dyDescent="0.15">
      <c r="V1292" s="272">
        <v>1280</v>
      </c>
    </row>
    <row r="1293" spans="22:22" x14ac:dyDescent="0.15">
      <c r="V1293" s="272">
        <v>1281</v>
      </c>
    </row>
    <row r="1294" spans="22:22" x14ac:dyDescent="0.15">
      <c r="V1294" s="272">
        <v>1282</v>
      </c>
    </row>
    <row r="1295" spans="22:22" x14ac:dyDescent="0.15">
      <c r="V1295" s="272">
        <v>1283</v>
      </c>
    </row>
    <row r="1296" spans="22:22" x14ac:dyDescent="0.15">
      <c r="V1296" s="272">
        <v>1284</v>
      </c>
    </row>
    <row r="1297" spans="22:22" x14ac:dyDescent="0.15">
      <c r="V1297" s="272">
        <v>1285</v>
      </c>
    </row>
    <row r="1298" spans="22:22" x14ac:dyDescent="0.15">
      <c r="V1298" s="272">
        <v>1286</v>
      </c>
    </row>
    <row r="1299" spans="22:22" x14ac:dyDescent="0.15">
      <c r="V1299" s="272">
        <v>1287</v>
      </c>
    </row>
    <row r="1300" spans="22:22" x14ac:dyDescent="0.15">
      <c r="V1300" s="272">
        <v>1288</v>
      </c>
    </row>
    <row r="1301" spans="22:22" x14ac:dyDescent="0.15">
      <c r="V1301" s="272">
        <v>1289</v>
      </c>
    </row>
    <row r="1302" spans="22:22" x14ac:dyDescent="0.15">
      <c r="V1302" s="272">
        <v>1290</v>
      </c>
    </row>
    <row r="1303" spans="22:22" x14ac:dyDescent="0.15">
      <c r="V1303" s="272">
        <v>1291</v>
      </c>
    </row>
    <row r="1304" spans="22:22" x14ac:dyDescent="0.15">
      <c r="V1304" s="272">
        <v>1292</v>
      </c>
    </row>
    <row r="1305" spans="22:22" x14ac:dyDescent="0.15">
      <c r="V1305" s="272">
        <v>1293</v>
      </c>
    </row>
    <row r="1306" spans="22:22" x14ac:dyDescent="0.15">
      <c r="V1306" s="272">
        <v>1294</v>
      </c>
    </row>
    <row r="1307" spans="22:22" x14ac:dyDescent="0.15">
      <c r="V1307" s="272">
        <v>1295</v>
      </c>
    </row>
    <row r="1308" spans="22:22" x14ac:dyDescent="0.15">
      <c r="V1308" s="272">
        <v>1296</v>
      </c>
    </row>
    <row r="1309" spans="22:22" x14ac:dyDescent="0.15">
      <c r="V1309" s="272">
        <v>1297</v>
      </c>
    </row>
    <row r="1310" spans="22:22" x14ac:dyDescent="0.15">
      <c r="V1310" s="272">
        <v>1298</v>
      </c>
    </row>
    <row r="1311" spans="22:22" x14ac:dyDescent="0.15">
      <c r="V1311" s="272">
        <v>1299</v>
      </c>
    </row>
  </sheetData>
  <mergeCells count="13">
    <mergeCell ref="H10:N10"/>
    <mergeCell ref="C10:C11"/>
    <mergeCell ref="D10:D11"/>
    <mergeCell ref="E10:E11"/>
    <mergeCell ref="F10:F11"/>
    <mergeCell ref="G10:G11"/>
    <mergeCell ref="U10:U11"/>
    <mergeCell ref="O10:O11"/>
    <mergeCell ref="P10:P11"/>
    <mergeCell ref="Q10:Q11"/>
    <mergeCell ref="R10:R11"/>
    <mergeCell ref="S10:S11"/>
    <mergeCell ref="T10:T11"/>
  </mergeCells>
  <pageMargins left="0.25" right="0.25" top="0.75" bottom="0.75" header="0.3" footer="0.3"/>
  <pageSetup paperSize="9" scale="70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6">
    <pageSetUpPr fitToPage="1"/>
  </sheetPr>
  <dimension ref="B3:AG46"/>
  <sheetViews>
    <sheetView showGridLines="0" topLeftCell="A8" zoomScale="90" zoomScaleNormal="90" zoomScalePageLayoutView="90" workbookViewId="0">
      <selection activeCell="Q32" sqref="Q32"/>
    </sheetView>
  </sheetViews>
  <sheetFormatPr baseColWidth="10" defaultColWidth="8.83203125" defaultRowHeight="13" x14ac:dyDescent="0.15"/>
  <cols>
    <col min="1" max="2" width="3.33203125" style="1" customWidth="1"/>
    <col min="3" max="3" width="19.6640625" style="1" customWidth="1"/>
    <col min="4" max="4" width="11.6640625" style="1" customWidth="1"/>
    <col min="5" max="5" width="9.6640625" style="1" customWidth="1"/>
    <col min="6" max="14" width="8.6640625" style="1" customWidth="1"/>
    <col min="15" max="15" width="8.83203125" style="1" customWidth="1"/>
    <col min="16" max="18" width="8.6640625" style="1" customWidth="1"/>
    <col min="19" max="19" width="8.5" style="1" customWidth="1"/>
    <col min="20" max="20" width="8.83203125" style="1" customWidth="1"/>
    <col min="21" max="21" width="9.1640625" style="1" customWidth="1"/>
    <col min="22" max="22" width="3.33203125" style="1" customWidth="1"/>
    <col min="23" max="23" width="13.5" style="1" bestFit="1" customWidth="1"/>
    <col min="24" max="24" width="8.83203125" style="1"/>
    <col min="25" max="25" width="10.5" style="1" customWidth="1"/>
    <col min="26" max="30" width="8.83203125" style="1"/>
    <col min="31" max="31" width="14.83203125" style="1" customWidth="1"/>
    <col min="32" max="32" width="13.33203125" style="1" customWidth="1"/>
    <col min="33" max="16384" width="8.83203125" style="1"/>
  </cols>
  <sheetData>
    <row r="3" spans="2:33" ht="14" thickBot="1" x14ac:dyDescent="0.2">
      <c r="B3" s="184">
        <v>2.5</v>
      </c>
      <c r="C3" s="9">
        <v>19</v>
      </c>
      <c r="D3" s="9">
        <v>11</v>
      </c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4">
        <v>2.5</v>
      </c>
    </row>
    <row r="4" spans="2:33" ht="14" customHeight="1" x14ac:dyDescent="0.15">
      <c r="B4" s="69"/>
      <c r="C4" s="70"/>
      <c r="D4" s="70"/>
      <c r="E4" s="70"/>
      <c r="F4" s="70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71"/>
    </row>
    <row r="5" spans="2:33" ht="14" customHeight="1" x14ac:dyDescent="0.15">
      <c r="B5" s="72"/>
      <c r="C5" s="73"/>
      <c r="D5" s="74"/>
      <c r="E5" s="74"/>
      <c r="F5" s="73"/>
      <c r="G5" s="73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 t="s">
        <v>455</v>
      </c>
      <c r="V5" s="75"/>
    </row>
    <row r="6" spans="2:33" ht="14" customHeight="1" x14ac:dyDescent="0.15"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5"/>
    </row>
    <row r="7" spans="2:33" ht="14" customHeight="1" x14ac:dyDescent="0.15">
      <c r="B7" s="72"/>
      <c r="C7" s="76"/>
      <c r="D7" s="77" t="s">
        <v>438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5"/>
    </row>
    <row r="8" spans="2:33" ht="14" customHeight="1" x14ac:dyDescent="0.15">
      <c r="B8" s="72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5"/>
    </row>
    <row r="9" spans="2:33" ht="15" customHeight="1" x14ac:dyDescent="0.15">
      <c r="B9" s="2"/>
      <c r="V9" s="22"/>
    </row>
    <row r="10" spans="2:33" ht="15" customHeight="1" x14ac:dyDescent="0.15">
      <c r="B10" s="2"/>
      <c r="C10" s="12" t="s">
        <v>404</v>
      </c>
      <c r="V10" s="22"/>
    </row>
    <row r="11" spans="2:33" ht="15" customHeight="1" thickBot="1" x14ac:dyDescent="0.2">
      <c r="B11" s="2"/>
      <c r="C11" s="12"/>
      <c r="U11" s="11" t="s">
        <v>39</v>
      </c>
      <c r="V11" s="22"/>
    </row>
    <row r="12" spans="2:33" ht="18" customHeight="1" thickBot="1" x14ac:dyDescent="0.2">
      <c r="B12" s="2"/>
      <c r="C12" s="477" t="s">
        <v>14</v>
      </c>
      <c r="D12" s="477" t="s">
        <v>68</v>
      </c>
      <c r="E12" s="477" t="s">
        <v>363</v>
      </c>
      <c r="F12" s="477" t="s">
        <v>374</v>
      </c>
      <c r="G12" s="477" t="s">
        <v>0</v>
      </c>
      <c r="H12" s="481" t="s">
        <v>7</v>
      </c>
      <c r="I12" s="481"/>
      <c r="J12" s="481"/>
      <c r="K12" s="481"/>
      <c r="L12" s="481"/>
      <c r="M12" s="481"/>
      <c r="N12" s="481"/>
      <c r="O12" s="477" t="s">
        <v>66</v>
      </c>
      <c r="P12" s="477" t="s">
        <v>40</v>
      </c>
      <c r="Q12" s="477" t="s">
        <v>360</v>
      </c>
      <c r="R12" s="477" t="s">
        <v>361</v>
      </c>
      <c r="S12" s="477" t="s">
        <v>362</v>
      </c>
      <c r="T12" s="477" t="s">
        <v>44</v>
      </c>
      <c r="U12" s="477" t="s">
        <v>46</v>
      </c>
      <c r="V12" s="22"/>
    </row>
    <row r="13" spans="2:33" ht="39" customHeight="1" thickBot="1" x14ac:dyDescent="0.2">
      <c r="B13" s="2"/>
      <c r="C13" s="478"/>
      <c r="D13" s="478"/>
      <c r="E13" s="478"/>
      <c r="F13" s="478"/>
      <c r="G13" s="478"/>
      <c r="H13" s="26" t="s">
        <v>1</v>
      </c>
      <c r="I13" s="26" t="s">
        <v>2</v>
      </c>
      <c r="J13" s="26" t="s">
        <v>3</v>
      </c>
      <c r="K13" s="26" t="s">
        <v>4</v>
      </c>
      <c r="L13" s="26" t="s">
        <v>5</v>
      </c>
      <c r="M13" s="26" t="s">
        <v>67</v>
      </c>
      <c r="N13" s="26" t="s">
        <v>6</v>
      </c>
      <c r="O13" s="478"/>
      <c r="P13" s="478"/>
      <c r="Q13" s="478"/>
      <c r="R13" s="478"/>
      <c r="S13" s="478"/>
      <c r="T13" s="478"/>
      <c r="U13" s="478"/>
      <c r="V13" s="22"/>
    </row>
    <row r="14" spans="2:33" ht="16.5" customHeight="1" x14ac:dyDescent="0.15">
      <c r="B14" s="2"/>
      <c r="C14" s="32" t="s">
        <v>87</v>
      </c>
      <c r="D14" s="313">
        <v>69812</v>
      </c>
      <c r="E14" s="316">
        <v>3.4746050779400002</v>
      </c>
      <c r="F14" s="316">
        <v>0.25390810232</v>
      </c>
      <c r="G14" s="316">
        <v>0.55254653912999996</v>
      </c>
      <c r="H14" s="296">
        <v>0.19325088597999998</v>
      </c>
      <c r="I14" s="296">
        <v>0.11746445243999999</v>
      </c>
      <c r="J14" s="296">
        <v>5.6070355909999994E-2</v>
      </c>
      <c r="K14" s="296">
        <v>0.13192884528000001</v>
      </c>
      <c r="L14" s="296">
        <v>2.3269856710000002E-2</v>
      </c>
      <c r="M14" s="296">
        <v>5.8078795599999997E-2</v>
      </c>
      <c r="N14" s="296">
        <v>0.24877766018000003</v>
      </c>
      <c r="O14" s="296">
        <v>2.6675670168000001</v>
      </c>
      <c r="P14" s="296">
        <v>0.28841706975000003</v>
      </c>
      <c r="Q14" s="296">
        <v>0.29354697023999998</v>
      </c>
      <c r="R14" s="296">
        <v>3.8646481140000001E-2</v>
      </c>
      <c r="S14" s="296">
        <v>4.4218909289999997E-2</v>
      </c>
      <c r="T14" s="296">
        <v>5.0132181412599994</v>
      </c>
      <c r="U14" s="296">
        <v>0.60624032486000001</v>
      </c>
      <c r="V14" s="88">
        <v>2</v>
      </c>
    </row>
    <row r="15" spans="2:33" ht="16.5" customHeight="1" x14ac:dyDescent="0.15">
      <c r="B15" s="2"/>
      <c r="C15" s="33" t="s">
        <v>92</v>
      </c>
      <c r="D15" s="314">
        <v>211029</v>
      </c>
      <c r="E15" s="317">
        <v>9.9025404301299993</v>
      </c>
      <c r="F15" s="317">
        <v>0.91991239628999999</v>
      </c>
      <c r="G15" s="317">
        <v>3.0125035428300002</v>
      </c>
      <c r="H15" s="297">
        <v>0.51933097591999999</v>
      </c>
      <c r="I15" s="297">
        <v>0.27662268744000001</v>
      </c>
      <c r="J15" s="297">
        <v>0.18477815596</v>
      </c>
      <c r="K15" s="297">
        <v>0.43037576224000001</v>
      </c>
      <c r="L15" s="297">
        <v>0.11382548295</v>
      </c>
      <c r="M15" s="297">
        <v>0.11285664491</v>
      </c>
      <c r="N15" s="297">
        <v>0.71145688915999972</v>
      </c>
      <c r="O15" s="297">
        <v>7.6049546126400003</v>
      </c>
      <c r="P15" s="297">
        <v>0.83385238964999997</v>
      </c>
      <c r="Q15" s="297">
        <v>0.81456772406</v>
      </c>
      <c r="R15" s="297">
        <v>0.14327558006999999</v>
      </c>
      <c r="S15" s="297">
        <v>0.12780314092</v>
      </c>
      <c r="T15" s="297">
        <v>22.477511258749999</v>
      </c>
      <c r="U15" s="297">
        <v>2.1927465885399999</v>
      </c>
      <c r="V15" s="88">
        <v>5</v>
      </c>
    </row>
    <row r="16" spans="2:33" ht="16.5" customHeight="1" x14ac:dyDescent="0.15">
      <c r="B16" s="2"/>
      <c r="C16" s="33" t="s">
        <v>88</v>
      </c>
      <c r="D16" s="314">
        <v>73075</v>
      </c>
      <c r="E16" s="317">
        <v>3.88310856364</v>
      </c>
      <c r="F16" s="317">
        <v>0.28671485833999999</v>
      </c>
      <c r="G16" s="317">
        <v>0.40156680205</v>
      </c>
      <c r="H16" s="297">
        <v>0.25895030796000001</v>
      </c>
      <c r="I16" s="297">
        <v>0.1933733862</v>
      </c>
      <c r="J16" s="297">
        <v>0.14273175697000001</v>
      </c>
      <c r="K16" s="297">
        <v>0.22838244241</v>
      </c>
      <c r="L16" s="297">
        <v>1.6978288719999998E-2</v>
      </c>
      <c r="M16" s="297">
        <v>8.5018717540000011E-2</v>
      </c>
      <c r="N16" s="297">
        <v>0.18296984964000007</v>
      </c>
      <c r="O16" s="297">
        <v>2.7842511103200001</v>
      </c>
      <c r="P16" s="297">
        <v>0.28461384586999999</v>
      </c>
      <c r="Q16" s="297">
        <v>0.31641632863000002</v>
      </c>
      <c r="R16" s="297">
        <v>3.5851949120000004E-2</v>
      </c>
      <c r="S16" s="297">
        <v>6.8248366429999999E-2</v>
      </c>
      <c r="T16" s="297">
        <v>2.7102368447399998</v>
      </c>
      <c r="U16" s="297">
        <v>0.32531997397000001</v>
      </c>
      <c r="V16" s="88">
        <v>8</v>
      </c>
      <c r="W16" s="117"/>
      <c r="X16" s="118"/>
      <c r="Y16" s="120"/>
      <c r="Z16" s="118"/>
      <c r="AA16" s="118"/>
      <c r="AB16" s="118"/>
      <c r="AC16" s="118"/>
      <c r="AD16" s="118"/>
      <c r="AE16" s="119"/>
      <c r="AF16" s="119"/>
      <c r="AG16" s="177"/>
    </row>
    <row r="17" spans="2:33" ht="16.5" customHeight="1" x14ac:dyDescent="0.15">
      <c r="B17" s="2"/>
      <c r="C17" s="33" t="s">
        <v>97</v>
      </c>
      <c r="D17" s="314">
        <v>313242</v>
      </c>
      <c r="E17" s="317">
        <v>15.062686566770001</v>
      </c>
      <c r="F17" s="317">
        <v>1.28465060335</v>
      </c>
      <c r="G17" s="317">
        <v>3.7341586512799996</v>
      </c>
      <c r="H17" s="297">
        <v>0.87348266152999998</v>
      </c>
      <c r="I17" s="297">
        <v>0.59080362287999999</v>
      </c>
      <c r="J17" s="297">
        <v>0.32539774600999999</v>
      </c>
      <c r="K17" s="297">
        <v>0.52545567143000005</v>
      </c>
      <c r="L17" s="297">
        <v>0.26470157456999999</v>
      </c>
      <c r="M17" s="297">
        <v>0.21219177669</v>
      </c>
      <c r="N17" s="297">
        <v>1.0350522255200003</v>
      </c>
      <c r="O17" s="297">
        <v>11.383296689309999</v>
      </c>
      <c r="P17" s="297">
        <v>1.20227480375</v>
      </c>
      <c r="Q17" s="297">
        <v>1.26520724511</v>
      </c>
      <c r="R17" s="297">
        <v>0.14450947198000003</v>
      </c>
      <c r="S17" s="297">
        <v>0.21329362044</v>
      </c>
      <c r="T17" s="297">
        <v>32.513504264570003</v>
      </c>
      <c r="U17" s="297">
        <v>3.2259753177899997</v>
      </c>
      <c r="V17" s="88">
        <v>11</v>
      </c>
      <c r="W17" s="117"/>
      <c r="X17" s="118"/>
      <c r="Y17" s="120"/>
      <c r="Z17" s="118"/>
      <c r="AA17" s="118"/>
      <c r="AB17" s="118"/>
      <c r="AC17" s="118"/>
      <c r="AD17" s="118"/>
      <c r="AE17" s="119"/>
      <c r="AF17" s="119"/>
      <c r="AG17" s="177"/>
    </row>
    <row r="18" spans="2:33" ht="16.5" customHeight="1" x14ac:dyDescent="0.15">
      <c r="B18" s="2"/>
      <c r="C18" s="33" t="s">
        <v>106</v>
      </c>
      <c r="D18" s="314">
        <v>1103410</v>
      </c>
      <c r="E18" s="317">
        <v>48.753870689240003</v>
      </c>
      <c r="F18" s="317">
        <v>5.3083692110300005</v>
      </c>
      <c r="G18" s="317">
        <v>16.375382570189998</v>
      </c>
      <c r="H18" s="297">
        <v>2.8499554590299998</v>
      </c>
      <c r="I18" s="297">
        <v>1.4867329288800002</v>
      </c>
      <c r="J18" s="297">
        <v>1.01500551647</v>
      </c>
      <c r="K18" s="297">
        <v>2.5687316830999998</v>
      </c>
      <c r="L18" s="297">
        <v>0.33626963383999997</v>
      </c>
      <c r="M18" s="297">
        <v>0.49759479888999997</v>
      </c>
      <c r="N18" s="297">
        <v>3.3569323203699977</v>
      </c>
      <c r="O18" s="297">
        <v>36.942320750340002</v>
      </c>
      <c r="P18" s="297">
        <v>3.7135683363999998</v>
      </c>
      <c r="Q18" s="297">
        <v>3.9128577314600004</v>
      </c>
      <c r="R18" s="297">
        <v>0.48719519251000004</v>
      </c>
      <c r="S18" s="297">
        <v>0.69772841036</v>
      </c>
      <c r="T18" s="297">
        <v>127.35028995912</v>
      </c>
      <c r="U18" s="297">
        <v>46.126296792390001</v>
      </c>
      <c r="V18" s="88">
        <v>14</v>
      </c>
      <c r="W18" s="117"/>
      <c r="X18" s="118"/>
      <c r="Y18" s="120"/>
      <c r="Z18" s="118"/>
      <c r="AA18" s="118"/>
      <c r="AB18" s="118"/>
      <c r="AC18" s="118"/>
      <c r="AD18" s="118"/>
      <c r="AE18" s="119"/>
      <c r="AF18" s="119"/>
      <c r="AG18" s="177"/>
    </row>
    <row r="19" spans="2:33" ht="16.5" customHeight="1" x14ac:dyDescent="0.15">
      <c r="B19" s="2"/>
      <c r="C19" s="33" t="s">
        <v>102</v>
      </c>
      <c r="D19" s="314">
        <v>600410</v>
      </c>
      <c r="E19" s="317">
        <v>27.326535184290002</v>
      </c>
      <c r="F19" s="317">
        <v>3.1175858329199997</v>
      </c>
      <c r="G19" s="317">
        <v>9.2099620557200002</v>
      </c>
      <c r="H19" s="297">
        <v>1.46818431516</v>
      </c>
      <c r="I19" s="297">
        <v>0.71066602499999998</v>
      </c>
      <c r="J19" s="297">
        <v>0.48182836573999999</v>
      </c>
      <c r="K19" s="297">
        <v>1.0993987653199999</v>
      </c>
      <c r="L19" s="297">
        <v>0.42092796622</v>
      </c>
      <c r="M19" s="297">
        <v>0.38286094992000003</v>
      </c>
      <c r="N19" s="297">
        <v>2.0308940787200003</v>
      </c>
      <c r="O19" s="297">
        <v>20.919056426339999</v>
      </c>
      <c r="P19" s="297">
        <v>2.3024423769400002</v>
      </c>
      <c r="Q19" s="297">
        <v>2.3376379747299998</v>
      </c>
      <c r="R19" s="297">
        <v>0.29380075895000002</v>
      </c>
      <c r="S19" s="297">
        <v>0.34435033254000003</v>
      </c>
      <c r="T19" s="297">
        <v>79.007911988060002</v>
      </c>
      <c r="U19" s="297">
        <v>8.3112431063899983</v>
      </c>
      <c r="V19" s="88">
        <v>17</v>
      </c>
      <c r="W19" s="117"/>
      <c r="X19" s="118"/>
      <c r="Y19" s="120"/>
      <c r="Z19" s="118"/>
      <c r="AA19" s="118"/>
      <c r="AB19" s="118"/>
      <c r="AC19" s="118"/>
      <c r="AD19" s="118"/>
      <c r="AE19" s="119"/>
      <c r="AF19" s="119"/>
      <c r="AG19" s="177"/>
    </row>
    <row r="20" spans="2:33" ht="16.5" customHeight="1" x14ac:dyDescent="0.15">
      <c r="B20" s="2"/>
      <c r="C20" s="33" t="s">
        <v>107</v>
      </c>
      <c r="D20" s="314">
        <v>670279</v>
      </c>
      <c r="E20" s="317">
        <v>51.635104739319999</v>
      </c>
      <c r="F20" s="317">
        <v>5.7552368699500001</v>
      </c>
      <c r="G20" s="317">
        <v>17.603318819910001</v>
      </c>
      <c r="H20" s="297">
        <v>3.6052462009299999</v>
      </c>
      <c r="I20" s="297">
        <v>0.99170077475999996</v>
      </c>
      <c r="J20" s="297">
        <v>0.98992977196000009</v>
      </c>
      <c r="K20" s="297">
        <v>2.6342739524200001</v>
      </c>
      <c r="L20" s="297">
        <v>0.38641765282999996</v>
      </c>
      <c r="M20" s="297">
        <v>0.80829583618</v>
      </c>
      <c r="N20" s="297">
        <v>2.3427365889000011</v>
      </c>
      <c r="O20" s="297">
        <v>40.198893833950002</v>
      </c>
      <c r="P20" s="297">
        <v>6.34056802963</v>
      </c>
      <c r="Q20" s="297">
        <v>6.8556692880900005</v>
      </c>
      <c r="R20" s="297">
        <v>0.38198830193</v>
      </c>
      <c r="S20" s="297">
        <v>0.91744160624000004</v>
      </c>
      <c r="T20" s="297">
        <v>165.40568074492001</v>
      </c>
      <c r="U20" s="297">
        <v>15.857142728409999</v>
      </c>
      <c r="V20" s="88">
        <v>20</v>
      </c>
      <c r="W20" s="117"/>
      <c r="X20" s="118"/>
      <c r="Y20" s="120"/>
      <c r="Z20" s="118"/>
      <c r="AA20" s="118"/>
      <c r="AB20" s="118"/>
      <c r="AC20" s="118"/>
      <c r="AD20" s="118"/>
      <c r="AE20" s="119"/>
      <c r="AF20" s="119"/>
      <c r="AG20" s="177"/>
    </row>
    <row r="21" spans="2:33" ht="16.5" customHeight="1" x14ac:dyDescent="0.15">
      <c r="B21" s="2"/>
      <c r="C21" s="33" t="s">
        <v>100</v>
      </c>
      <c r="D21" s="314">
        <v>507475</v>
      </c>
      <c r="E21" s="317">
        <v>23.686604701740002</v>
      </c>
      <c r="F21" s="317">
        <v>2.85049325036</v>
      </c>
      <c r="G21" s="317">
        <v>10.583753713210001</v>
      </c>
      <c r="H21" s="297">
        <v>1.11745834239</v>
      </c>
      <c r="I21" s="297">
        <v>0.56038556927999994</v>
      </c>
      <c r="J21" s="297">
        <v>0.34128337754999999</v>
      </c>
      <c r="K21" s="297">
        <v>0.91037963539</v>
      </c>
      <c r="L21" s="297">
        <v>0.35776934794999998</v>
      </c>
      <c r="M21" s="297">
        <v>0.22597718584999998</v>
      </c>
      <c r="N21" s="297">
        <v>1.9791264425299993</v>
      </c>
      <c r="O21" s="297">
        <v>18.287511242210002</v>
      </c>
      <c r="P21" s="297">
        <v>1.9043253690299999</v>
      </c>
      <c r="Q21" s="297">
        <v>1.9456889675299998</v>
      </c>
      <c r="R21" s="297">
        <v>0.25570339746999998</v>
      </c>
      <c r="S21" s="297">
        <v>0.30306236678999998</v>
      </c>
      <c r="T21" s="297">
        <v>84.41951860411001</v>
      </c>
      <c r="U21" s="297">
        <v>7.0445364335500003</v>
      </c>
      <c r="V21" s="88">
        <v>23</v>
      </c>
      <c r="W21" s="117"/>
      <c r="X21" s="118"/>
      <c r="Y21" s="120"/>
      <c r="Z21" s="118"/>
      <c r="AA21" s="118"/>
      <c r="AB21" s="118"/>
      <c r="AC21" s="118"/>
      <c r="AD21" s="118"/>
      <c r="AE21" s="119"/>
      <c r="AF21" s="119"/>
      <c r="AG21" s="177"/>
    </row>
    <row r="22" spans="2:33" ht="16.5" customHeight="1" x14ac:dyDescent="0.15">
      <c r="B22" s="2"/>
      <c r="C22" s="33" t="s">
        <v>85</v>
      </c>
      <c r="D22" s="314">
        <v>42</v>
      </c>
      <c r="E22" s="317">
        <v>3.9477064900000003E-3</v>
      </c>
      <c r="F22" s="317">
        <v>5.7540749E-4</v>
      </c>
      <c r="G22" s="317">
        <v>5.8352154100000005E-3</v>
      </c>
      <c r="H22" s="297">
        <v>3.9976399999999999E-4</v>
      </c>
      <c r="I22" s="297">
        <v>9.6991079999999999E-5</v>
      </c>
      <c r="J22" s="297">
        <v>5.1202639999999999E-5</v>
      </c>
      <c r="K22" s="297">
        <v>1.7064215000000001E-4</v>
      </c>
      <c r="L22" s="297">
        <v>4.7999999999999998E-6</v>
      </c>
      <c r="M22" s="297">
        <v>1.5149963000000001E-4</v>
      </c>
      <c r="N22" s="297">
        <v>1.7445756000000008E-4</v>
      </c>
      <c r="O22" s="297">
        <v>2.9124529799999998E-3</v>
      </c>
      <c r="P22" s="297">
        <v>4.7357353000000008E-4</v>
      </c>
      <c r="Q22" s="297">
        <v>6.0114439000000003E-4</v>
      </c>
      <c r="R22" s="297">
        <v>8.3259799999999999E-6</v>
      </c>
      <c r="S22" s="297">
        <v>1.3589683999999999E-4</v>
      </c>
      <c r="T22" s="297">
        <v>2.254304943E-2</v>
      </c>
      <c r="U22" s="297">
        <v>6.0270362000000002E-4</v>
      </c>
      <c r="V22" s="88">
        <v>26</v>
      </c>
      <c r="W22" s="117"/>
      <c r="X22" s="118"/>
      <c r="Y22" s="120"/>
      <c r="Z22" s="118"/>
      <c r="AA22" s="118"/>
      <c r="AB22" s="118"/>
      <c r="AC22" s="118"/>
      <c r="AD22" s="118"/>
      <c r="AE22" s="119"/>
      <c r="AF22" s="119"/>
      <c r="AG22" s="177"/>
    </row>
    <row r="23" spans="2:33" ht="16.5" customHeight="1" x14ac:dyDescent="0.15">
      <c r="B23" s="2"/>
      <c r="C23" s="33" t="s">
        <v>103</v>
      </c>
      <c r="D23" s="314">
        <v>809250</v>
      </c>
      <c r="E23" s="317">
        <v>35.214505949499994</v>
      </c>
      <c r="F23" s="317">
        <v>3.5341336011099997</v>
      </c>
      <c r="G23" s="317">
        <v>14.757418292260001</v>
      </c>
      <c r="H23" s="297">
        <v>1.7396658281700002</v>
      </c>
      <c r="I23" s="297">
        <v>1.0134639222000001</v>
      </c>
      <c r="J23" s="297">
        <v>0.65392238309000006</v>
      </c>
      <c r="K23" s="297">
        <v>1.5757479223299999</v>
      </c>
      <c r="L23" s="297">
        <v>0.7227809758</v>
      </c>
      <c r="M23" s="297">
        <v>0.31153978708999996</v>
      </c>
      <c r="N23" s="297">
        <v>2.8473940010999996</v>
      </c>
      <c r="O23" s="297">
        <v>26.543696743909997</v>
      </c>
      <c r="P23" s="297">
        <v>2.4647313298400002</v>
      </c>
      <c r="Q23" s="297">
        <v>2.5636143040900001</v>
      </c>
      <c r="R23" s="297">
        <v>0.38612194483000001</v>
      </c>
      <c r="S23" s="297">
        <v>0.49747129850000005</v>
      </c>
      <c r="T23" s="297">
        <v>137.71280963973001</v>
      </c>
      <c r="U23" s="297">
        <v>14.73825700179</v>
      </c>
      <c r="V23" s="88">
        <v>29</v>
      </c>
      <c r="W23" s="117"/>
      <c r="X23" s="118"/>
      <c r="Y23" s="120"/>
      <c r="Z23" s="118"/>
      <c r="AA23" s="118"/>
      <c r="AB23" s="118"/>
      <c r="AC23" s="118"/>
      <c r="AD23" s="118"/>
      <c r="AE23" s="119"/>
      <c r="AF23" s="119"/>
      <c r="AG23" s="177"/>
    </row>
    <row r="24" spans="2:33" ht="16.5" customHeight="1" x14ac:dyDescent="0.15">
      <c r="B24" s="2"/>
      <c r="C24" s="33" t="s">
        <v>96</v>
      </c>
      <c r="D24" s="314">
        <v>352705</v>
      </c>
      <c r="E24" s="317">
        <v>14.845632045479999</v>
      </c>
      <c r="F24" s="317">
        <v>1.18203384974</v>
      </c>
      <c r="G24" s="317">
        <v>3.0458255691899998</v>
      </c>
      <c r="H24" s="297">
        <v>0.78160684339999997</v>
      </c>
      <c r="I24" s="297">
        <v>0.54775815612000001</v>
      </c>
      <c r="J24" s="297">
        <v>0.36298463248000001</v>
      </c>
      <c r="K24" s="297">
        <v>0.64967467315999994</v>
      </c>
      <c r="L24" s="297">
        <v>0.14649007930999999</v>
      </c>
      <c r="M24" s="297">
        <v>0.16439499535999999</v>
      </c>
      <c r="N24" s="297">
        <v>1.1026657112400002</v>
      </c>
      <c r="O24" s="297">
        <v>11.147966413540001</v>
      </c>
      <c r="P24" s="297">
        <v>1.0083018772600001</v>
      </c>
      <c r="Q24" s="297">
        <v>1.0336245276</v>
      </c>
      <c r="R24" s="297">
        <v>0.17388146736999999</v>
      </c>
      <c r="S24" s="297">
        <v>0.20176853638000003</v>
      </c>
      <c r="T24" s="297">
        <v>23.595909155929998</v>
      </c>
      <c r="U24" s="297">
        <v>2.7443216158000001</v>
      </c>
      <c r="V24" s="88">
        <v>32</v>
      </c>
      <c r="W24" s="117"/>
      <c r="X24" s="118"/>
      <c r="Y24" s="120"/>
      <c r="Z24" s="118"/>
      <c r="AA24" s="118"/>
      <c r="AB24" s="118"/>
      <c r="AC24" s="118"/>
      <c r="AD24" s="118"/>
      <c r="AE24" s="119"/>
      <c r="AF24" s="119"/>
      <c r="AG24" s="177"/>
    </row>
    <row r="25" spans="2:33" ht="16.5" customHeight="1" x14ac:dyDescent="0.15">
      <c r="B25" s="2"/>
      <c r="C25" s="33" t="s">
        <v>99</v>
      </c>
      <c r="D25" s="314">
        <v>412382</v>
      </c>
      <c r="E25" s="317">
        <v>17.694201964880001</v>
      </c>
      <c r="F25" s="317">
        <v>1.7155796886299999</v>
      </c>
      <c r="G25" s="317">
        <v>7.5894837701600002</v>
      </c>
      <c r="H25" s="297">
        <v>0.82807885423000005</v>
      </c>
      <c r="I25" s="297">
        <v>0.50673918383999994</v>
      </c>
      <c r="J25" s="297">
        <v>0.26740781592000001</v>
      </c>
      <c r="K25" s="297">
        <v>0.71970994930999999</v>
      </c>
      <c r="L25" s="297">
        <v>0.49178871800000001</v>
      </c>
      <c r="M25" s="297">
        <v>0.15850460099000002</v>
      </c>
      <c r="N25" s="297">
        <v>1.4335913198899997</v>
      </c>
      <c r="O25" s="297">
        <v>13.37473540129</v>
      </c>
      <c r="P25" s="297">
        <v>1.23820562226</v>
      </c>
      <c r="Q25" s="297">
        <v>1.2685750572399999</v>
      </c>
      <c r="R25" s="297">
        <v>0.22156215297999998</v>
      </c>
      <c r="S25" s="297">
        <v>0.25691526921999996</v>
      </c>
      <c r="T25" s="297">
        <v>71.309892774160005</v>
      </c>
      <c r="U25" s="297">
        <v>10.72803581456</v>
      </c>
      <c r="V25" s="88">
        <v>35</v>
      </c>
      <c r="W25" s="117"/>
      <c r="X25" s="118"/>
      <c r="Y25" s="120"/>
      <c r="Z25" s="118"/>
      <c r="AA25" s="118"/>
      <c r="AB25" s="118"/>
      <c r="AC25" s="118"/>
      <c r="AD25" s="118"/>
      <c r="AE25" s="119"/>
      <c r="AF25" s="119"/>
      <c r="AG25" s="177"/>
    </row>
    <row r="26" spans="2:33" ht="16.5" customHeight="1" x14ac:dyDescent="0.15">
      <c r="B26" s="2"/>
      <c r="C26" s="33" t="s">
        <v>98</v>
      </c>
      <c r="D26" s="314">
        <v>354218</v>
      </c>
      <c r="E26" s="317">
        <v>16.178521100779999</v>
      </c>
      <c r="F26" s="317">
        <v>1.6281296697400001</v>
      </c>
      <c r="G26" s="317">
        <v>7.4718601877400008</v>
      </c>
      <c r="H26" s="297">
        <v>0.74961654223999996</v>
      </c>
      <c r="I26" s="297">
        <v>0.42577639572000003</v>
      </c>
      <c r="J26" s="297">
        <v>0.20972389656999998</v>
      </c>
      <c r="K26" s="297">
        <v>0.59143246075</v>
      </c>
      <c r="L26" s="297">
        <v>0.27825147329</v>
      </c>
      <c r="M26" s="297">
        <v>0.14990143771</v>
      </c>
      <c r="N26" s="297">
        <v>1.3805120959999999</v>
      </c>
      <c r="O26" s="297">
        <v>12.458487459640001</v>
      </c>
      <c r="P26" s="297">
        <v>1.2546890847299998</v>
      </c>
      <c r="Q26" s="297">
        <v>1.1992794422699999</v>
      </c>
      <c r="R26" s="297">
        <v>0.23749833163</v>
      </c>
      <c r="S26" s="297">
        <v>0.19053471395999999</v>
      </c>
      <c r="T26" s="297">
        <v>63.45114673282</v>
      </c>
      <c r="U26" s="297">
        <v>7.3385742301699999</v>
      </c>
      <c r="V26" s="88">
        <v>38</v>
      </c>
      <c r="W26" s="117"/>
      <c r="X26" s="118"/>
      <c r="Y26" s="120"/>
      <c r="Z26" s="118"/>
      <c r="AA26" s="118"/>
      <c r="AB26" s="118"/>
      <c r="AC26" s="118"/>
      <c r="AD26" s="118"/>
      <c r="AE26" s="119"/>
      <c r="AF26" s="119"/>
      <c r="AG26" s="177"/>
    </row>
    <row r="27" spans="2:33" ht="16.5" customHeight="1" x14ac:dyDescent="0.15">
      <c r="B27" s="2"/>
      <c r="C27" s="33" t="s">
        <v>110</v>
      </c>
      <c r="D27" s="314">
        <v>2463471</v>
      </c>
      <c r="E27" s="317">
        <v>111.47303488847001</v>
      </c>
      <c r="F27" s="317">
        <v>16.589876021759999</v>
      </c>
      <c r="G27" s="317">
        <v>52.579794155770003</v>
      </c>
      <c r="H27" s="297">
        <v>5.2725382194500003</v>
      </c>
      <c r="I27" s="297">
        <v>2.69153136096</v>
      </c>
      <c r="J27" s="297">
        <v>1.5829849348599998</v>
      </c>
      <c r="K27" s="297">
        <v>3.8159089362800001</v>
      </c>
      <c r="L27" s="297">
        <v>1.6474794908399999</v>
      </c>
      <c r="M27" s="297">
        <v>1.08325355749</v>
      </c>
      <c r="N27" s="297">
        <v>9.4722485591600005</v>
      </c>
      <c r="O27" s="297">
        <v>86.401271204209991</v>
      </c>
      <c r="P27" s="297">
        <v>9.0352227065400008</v>
      </c>
      <c r="Q27" s="297">
        <v>9.0523935791799985</v>
      </c>
      <c r="R27" s="297">
        <v>1.2606757747600001</v>
      </c>
      <c r="S27" s="297">
        <v>1.35228692965</v>
      </c>
      <c r="T27" s="297">
        <v>470.03817451684995</v>
      </c>
      <c r="U27" s="297">
        <v>41.968629473860005</v>
      </c>
      <c r="V27" s="88">
        <v>41</v>
      </c>
      <c r="W27" s="117"/>
      <c r="X27" s="118"/>
      <c r="Y27" s="120"/>
      <c r="Z27" s="118"/>
      <c r="AA27" s="118"/>
      <c r="AB27" s="118"/>
      <c r="AC27" s="118"/>
      <c r="AD27" s="118"/>
      <c r="AE27" s="119"/>
      <c r="AF27" s="119"/>
      <c r="AG27" s="177"/>
    </row>
    <row r="28" spans="2:33" ht="16.5" customHeight="1" x14ac:dyDescent="0.15">
      <c r="B28" s="2"/>
      <c r="C28" s="33" t="s">
        <v>113</v>
      </c>
      <c r="D28" s="314">
        <v>18390</v>
      </c>
      <c r="E28" s="317">
        <v>0.65430956307999999</v>
      </c>
      <c r="F28" s="317">
        <v>0.49723902209000004</v>
      </c>
      <c r="G28" s="317">
        <v>1.0719902817200002</v>
      </c>
      <c r="H28" s="297">
        <v>4.6137686760000005E-2</v>
      </c>
      <c r="I28" s="297">
        <v>1.3483823759999999E-2</v>
      </c>
      <c r="J28" s="297">
        <v>5.4933171399999996E-3</v>
      </c>
      <c r="K28" s="297">
        <v>2.2183295719999999E-2</v>
      </c>
      <c r="L28" s="297">
        <v>1.7200248E-3</v>
      </c>
      <c r="M28" s="297">
        <v>9.8555359999999998E-3</v>
      </c>
      <c r="N28" s="297">
        <v>3.369925671E-2</v>
      </c>
      <c r="O28" s="297">
        <v>0.53361950892999999</v>
      </c>
      <c r="P28" s="297">
        <v>8.6419956869999995E-2</v>
      </c>
      <c r="Q28" s="297">
        <v>9.2641779390000012E-2</v>
      </c>
      <c r="R28" s="297">
        <v>6.9608199300000007E-3</v>
      </c>
      <c r="S28" s="297">
        <v>1.500512216E-2</v>
      </c>
      <c r="T28" s="297">
        <v>79.393689377379999</v>
      </c>
      <c r="U28" s="297">
        <v>0.70993366940000002</v>
      </c>
      <c r="V28" s="88">
        <v>44</v>
      </c>
      <c r="W28" s="117"/>
      <c r="X28" s="118"/>
      <c r="Y28" s="120"/>
      <c r="Z28" s="118"/>
      <c r="AA28" s="118"/>
      <c r="AB28" s="118"/>
      <c r="AC28" s="118"/>
      <c r="AD28" s="118"/>
      <c r="AE28" s="119"/>
      <c r="AF28" s="119"/>
      <c r="AG28" s="177"/>
    </row>
    <row r="29" spans="2:33" ht="16.5" customHeight="1" x14ac:dyDescent="0.15">
      <c r="B29" s="2"/>
      <c r="C29" s="33" t="s">
        <v>101</v>
      </c>
      <c r="D29" s="314">
        <v>528116</v>
      </c>
      <c r="E29" s="317">
        <v>25.037783485430001</v>
      </c>
      <c r="F29" s="317">
        <v>2.0343152131300002</v>
      </c>
      <c r="G29" s="317">
        <v>5.9148546469200003</v>
      </c>
      <c r="H29" s="297">
        <v>1.3845579988700001</v>
      </c>
      <c r="I29" s="297">
        <v>0.98069744628</v>
      </c>
      <c r="J29" s="297">
        <v>0.64276467463999998</v>
      </c>
      <c r="K29" s="297">
        <v>1.19336235111</v>
      </c>
      <c r="L29" s="297">
        <v>0.34678203032999999</v>
      </c>
      <c r="M29" s="297">
        <v>0.28883585202000001</v>
      </c>
      <c r="N29" s="297">
        <v>1.6494310889900001</v>
      </c>
      <c r="O29" s="297">
        <v>18.665135731349999</v>
      </c>
      <c r="P29" s="297">
        <v>1.85278595668</v>
      </c>
      <c r="Q29" s="297">
        <v>1.9853100345800001</v>
      </c>
      <c r="R29" s="297">
        <v>0.25166242484000001</v>
      </c>
      <c r="S29" s="297">
        <v>0.39015619805000001</v>
      </c>
      <c r="T29" s="297">
        <v>46.149374838059998</v>
      </c>
      <c r="U29" s="297">
        <v>4.3065025742100005</v>
      </c>
      <c r="V29" s="88">
        <v>47</v>
      </c>
      <c r="W29" s="117"/>
      <c r="X29" s="118"/>
      <c r="Y29" s="120"/>
      <c r="Z29" s="118"/>
      <c r="AA29" s="118"/>
      <c r="AB29" s="118"/>
      <c r="AC29" s="118"/>
      <c r="AD29" s="118"/>
      <c r="AE29" s="119"/>
      <c r="AF29" s="119"/>
      <c r="AG29" s="177"/>
    </row>
    <row r="30" spans="2:33" ht="16.5" customHeight="1" x14ac:dyDescent="0.15">
      <c r="B30" s="2"/>
      <c r="C30" s="33" t="s">
        <v>94</v>
      </c>
      <c r="D30" s="314">
        <v>268611</v>
      </c>
      <c r="E30" s="317">
        <v>13.05127148299</v>
      </c>
      <c r="F30" s="317">
        <v>1.1041879872</v>
      </c>
      <c r="G30" s="317">
        <v>3.48080499323</v>
      </c>
      <c r="H30" s="297">
        <v>0.67691086510999998</v>
      </c>
      <c r="I30" s="297">
        <v>0.31870649796</v>
      </c>
      <c r="J30" s="297">
        <v>0.18033160046000002</v>
      </c>
      <c r="K30" s="297">
        <v>0.46074208506000003</v>
      </c>
      <c r="L30" s="297">
        <v>0.12608305656999999</v>
      </c>
      <c r="M30" s="297">
        <v>0.15734419432999999</v>
      </c>
      <c r="N30" s="297">
        <v>1.0189216321100001</v>
      </c>
      <c r="O30" s="297">
        <v>10.191228725009999</v>
      </c>
      <c r="P30" s="297">
        <v>1.1614390700999999</v>
      </c>
      <c r="Q30" s="297">
        <v>1.11055045758</v>
      </c>
      <c r="R30" s="297">
        <v>0.19009944862</v>
      </c>
      <c r="S30" s="297">
        <v>0.14404917434999998</v>
      </c>
      <c r="T30" s="297">
        <v>30.689095957060001</v>
      </c>
      <c r="U30" s="297">
        <v>2.8775266400500001</v>
      </c>
      <c r="V30" s="88">
        <v>50</v>
      </c>
      <c r="W30" s="117"/>
      <c r="X30" s="118"/>
      <c r="Y30" s="120"/>
      <c r="Z30" s="118"/>
      <c r="AA30" s="118"/>
      <c r="AB30" s="118"/>
      <c r="AC30" s="118"/>
      <c r="AD30" s="118"/>
      <c r="AE30" s="119"/>
      <c r="AF30" s="119"/>
      <c r="AG30" s="177"/>
    </row>
    <row r="31" spans="2:33" ht="16.5" customHeight="1" x14ac:dyDescent="0.15">
      <c r="B31" s="2"/>
      <c r="C31" s="33" t="s">
        <v>108</v>
      </c>
      <c r="D31" s="314">
        <v>1651102</v>
      </c>
      <c r="E31" s="317">
        <v>73.831632939390005</v>
      </c>
      <c r="F31" s="317">
        <v>11.43219055356</v>
      </c>
      <c r="G31" s="317">
        <v>43.080051859500003</v>
      </c>
      <c r="H31" s="297">
        <v>2.9931024503899999</v>
      </c>
      <c r="I31" s="297">
        <v>1.5706962495599999</v>
      </c>
      <c r="J31" s="297">
        <v>0.87569854700000005</v>
      </c>
      <c r="K31" s="297">
        <v>2.0823021532300001</v>
      </c>
      <c r="L31" s="297">
        <v>1.03666530075</v>
      </c>
      <c r="M31" s="297">
        <v>0.52450819507000002</v>
      </c>
      <c r="N31" s="297">
        <v>7.0342729033700007</v>
      </c>
      <c r="O31" s="297">
        <v>57.912398827830003</v>
      </c>
      <c r="P31" s="297">
        <v>5.9391555911299996</v>
      </c>
      <c r="Q31" s="297">
        <v>5.7976537859499997</v>
      </c>
      <c r="R31" s="297">
        <v>0.92224915479000003</v>
      </c>
      <c r="S31" s="297">
        <v>0.83623430494000006</v>
      </c>
      <c r="T31" s="297">
        <v>423.71526701204999</v>
      </c>
      <c r="U31" s="297">
        <v>35.117235579880003</v>
      </c>
      <c r="V31" s="88">
        <v>53</v>
      </c>
      <c r="W31" s="117"/>
      <c r="X31" s="118"/>
      <c r="Y31" s="120"/>
      <c r="Z31" s="118"/>
      <c r="AA31" s="118"/>
      <c r="AB31" s="118"/>
      <c r="AC31" s="118"/>
      <c r="AD31" s="118"/>
      <c r="AE31" s="119"/>
      <c r="AF31" s="119"/>
      <c r="AG31" s="177"/>
    </row>
    <row r="32" spans="2:33" ht="16.5" customHeight="1" x14ac:dyDescent="0.15">
      <c r="B32" s="2"/>
      <c r="C32" s="33" t="s">
        <v>104</v>
      </c>
      <c r="D32" s="314">
        <v>731502</v>
      </c>
      <c r="E32" s="317">
        <v>34.908878038780003</v>
      </c>
      <c r="F32" s="317">
        <v>3.97966664534</v>
      </c>
      <c r="G32" s="317">
        <v>13.191761451950001</v>
      </c>
      <c r="H32" s="297">
        <v>1.9993040951799999</v>
      </c>
      <c r="I32" s="297">
        <v>0.91596931403999993</v>
      </c>
      <c r="J32" s="297">
        <v>0.57562423423999998</v>
      </c>
      <c r="K32" s="297">
        <v>1.58376466621</v>
      </c>
      <c r="L32" s="297">
        <v>0.33646543707999998</v>
      </c>
      <c r="M32" s="297">
        <v>0.34237338634999998</v>
      </c>
      <c r="N32" s="297">
        <v>2.5474525582099989</v>
      </c>
      <c r="O32" s="297">
        <v>26.80638302166</v>
      </c>
      <c r="P32" s="297">
        <v>2.9272531563500004</v>
      </c>
      <c r="Q32" s="297">
        <v>2.9238793471299998</v>
      </c>
      <c r="R32" s="297">
        <v>0.43772792764999996</v>
      </c>
      <c r="S32" s="297">
        <v>0.44715730325999997</v>
      </c>
      <c r="T32" s="297">
        <v>97.743952220269989</v>
      </c>
      <c r="U32" s="297">
        <v>9.2030630597900007</v>
      </c>
      <c r="V32" s="88">
        <v>56</v>
      </c>
      <c r="W32" s="117"/>
      <c r="X32" s="118"/>
      <c r="Y32" s="120"/>
      <c r="Z32" s="118"/>
      <c r="AA32" s="118"/>
      <c r="AB32" s="118"/>
      <c r="AC32" s="118"/>
      <c r="AD32" s="118"/>
      <c r="AE32" s="119"/>
      <c r="AF32" s="119"/>
      <c r="AG32" s="177"/>
    </row>
    <row r="33" spans="2:33" ht="16.5" customHeight="1" x14ac:dyDescent="0.15">
      <c r="B33" s="2"/>
      <c r="C33" s="33" t="s">
        <v>91</v>
      </c>
      <c r="D33" s="314">
        <v>205769</v>
      </c>
      <c r="E33" s="317">
        <v>9.0591526048900004</v>
      </c>
      <c r="F33" s="317">
        <v>0.79372144142000012</v>
      </c>
      <c r="G33" s="317">
        <v>2.4112521062900001</v>
      </c>
      <c r="H33" s="297">
        <v>0.48765406193000005</v>
      </c>
      <c r="I33" s="297">
        <v>0.27228491616</v>
      </c>
      <c r="J33" s="297">
        <v>0.18042995766999997</v>
      </c>
      <c r="K33" s="297">
        <v>0.35105587360000001</v>
      </c>
      <c r="L33" s="297">
        <v>5.507935563E-2</v>
      </c>
      <c r="M33" s="297">
        <v>0.10453105490999999</v>
      </c>
      <c r="N33" s="297">
        <v>0.69623229335000003</v>
      </c>
      <c r="O33" s="297">
        <v>6.9590004712799995</v>
      </c>
      <c r="P33" s="297">
        <v>0.70010226474000004</v>
      </c>
      <c r="Q33" s="297">
        <v>0.67366395465999995</v>
      </c>
      <c r="R33" s="297">
        <v>0.12523209674999999</v>
      </c>
      <c r="S33" s="297">
        <v>0.10059496816999999</v>
      </c>
      <c r="T33" s="297">
        <v>18.574293800469999</v>
      </c>
      <c r="U33" s="297">
        <v>1.6140080463399999</v>
      </c>
      <c r="V33" s="88">
        <v>59</v>
      </c>
      <c r="W33" s="117"/>
      <c r="X33" s="118"/>
      <c r="Y33" s="120"/>
      <c r="Z33" s="118"/>
      <c r="AA33" s="118"/>
      <c r="AB33" s="118"/>
      <c r="AC33" s="118"/>
      <c r="AD33" s="118"/>
      <c r="AE33" s="119"/>
      <c r="AF33" s="119"/>
      <c r="AG33" s="177"/>
    </row>
    <row r="34" spans="2:33" ht="16.5" customHeight="1" x14ac:dyDescent="0.15">
      <c r="B34" s="2"/>
      <c r="C34" s="33" t="s">
        <v>111</v>
      </c>
      <c r="D34" s="314">
        <v>2848283</v>
      </c>
      <c r="E34" s="317">
        <v>168.29922104304001</v>
      </c>
      <c r="F34" s="317">
        <v>29.572025314989997</v>
      </c>
      <c r="G34" s="317">
        <v>81.322683385120001</v>
      </c>
      <c r="H34" s="297">
        <v>8.3474173270800005</v>
      </c>
      <c r="I34" s="297">
        <v>3.1877191534800002</v>
      </c>
      <c r="J34" s="297">
        <v>2.20149193598</v>
      </c>
      <c r="K34" s="297">
        <v>7.3719134850800003</v>
      </c>
      <c r="L34" s="297">
        <v>2.0384022664799999</v>
      </c>
      <c r="M34" s="297">
        <v>1.8902286747400001</v>
      </c>
      <c r="N34" s="297">
        <v>11.717516548630002</v>
      </c>
      <c r="O34" s="297">
        <v>132.63627611567</v>
      </c>
      <c r="P34" s="297">
        <v>18.168880559569999</v>
      </c>
      <c r="Q34" s="297">
        <v>17.817901519799999</v>
      </c>
      <c r="R34" s="297">
        <v>2.08282891057</v>
      </c>
      <c r="S34" s="297">
        <v>2.2045594996800002</v>
      </c>
      <c r="T34" s="297">
        <v>707.24038048636999</v>
      </c>
      <c r="U34" s="297">
        <v>50.628338906370004</v>
      </c>
      <c r="V34" s="88">
        <v>62</v>
      </c>
      <c r="W34" s="117"/>
      <c r="X34" s="118"/>
      <c r="Y34" s="120"/>
      <c r="Z34" s="118"/>
      <c r="AA34" s="118"/>
      <c r="AB34" s="118"/>
      <c r="AC34" s="118"/>
      <c r="AD34" s="118"/>
      <c r="AE34" s="119"/>
      <c r="AF34" s="119"/>
      <c r="AG34" s="177"/>
    </row>
    <row r="35" spans="2:33" ht="16.5" customHeight="1" x14ac:dyDescent="0.15">
      <c r="B35" s="2"/>
      <c r="C35" s="33" t="s">
        <v>95</v>
      </c>
      <c r="D35" s="314">
        <v>279479</v>
      </c>
      <c r="E35" s="317">
        <v>14.13047148774</v>
      </c>
      <c r="F35" s="317">
        <v>1.3834186643700002</v>
      </c>
      <c r="G35" s="317">
        <v>3.8697921473200001</v>
      </c>
      <c r="H35" s="297">
        <v>0.76281806247000006</v>
      </c>
      <c r="I35" s="297">
        <v>0.34143130163999996</v>
      </c>
      <c r="J35" s="297">
        <v>0.20249357246000002</v>
      </c>
      <c r="K35" s="297">
        <v>0.4835008173</v>
      </c>
      <c r="L35" s="297">
        <v>0.13884435278000001</v>
      </c>
      <c r="M35" s="297">
        <v>0.18830527725000001</v>
      </c>
      <c r="N35" s="297">
        <v>1.07503668253</v>
      </c>
      <c r="O35" s="297">
        <v>10.9986293495</v>
      </c>
      <c r="P35" s="297">
        <v>1.2892169241499998</v>
      </c>
      <c r="Q35" s="297">
        <v>1.2769042824899999</v>
      </c>
      <c r="R35" s="297">
        <v>0.17352197288999999</v>
      </c>
      <c r="S35" s="297">
        <v>0.16408639212999998</v>
      </c>
      <c r="T35" s="297">
        <v>30.291770971209999</v>
      </c>
      <c r="U35" s="297">
        <v>3.1742058167400002</v>
      </c>
      <c r="V35" s="88">
        <v>65</v>
      </c>
      <c r="W35" s="117"/>
      <c r="X35" s="118"/>
      <c r="Y35" s="120"/>
      <c r="Z35" s="118"/>
      <c r="AA35" s="118"/>
      <c r="AB35" s="118"/>
      <c r="AC35" s="118"/>
      <c r="AD35" s="118"/>
      <c r="AE35" s="119"/>
      <c r="AF35" s="119"/>
      <c r="AG35" s="177"/>
    </row>
    <row r="36" spans="2:33" ht="16.5" customHeight="1" x14ac:dyDescent="0.15">
      <c r="B36" s="2"/>
      <c r="C36" s="33" t="s">
        <v>109</v>
      </c>
      <c r="D36" s="314">
        <v>1887320</v>
      </c>
      <c r="E36" s="317">
        <v>85.316425836060006</v>
      </c>
      <c r="F36" s="317">
        <v>13.516851200950001</v>
      </c>
      <c r="G36" s="317">
        <v>46.297566143170002</v>
      </c>
      <c r="H36" s="297">
        <v>4.0380174785600005</v>
      </c>
      <c r="I36" s="297">
        <v>1.5908580123599998</v>
      </c>
      <c r="J36" s="297">
        <v>0.98405005895000008</v>
      </c>
      <c r="K36" s="297">
        <v>2.71670896997</v>
      </c>
      <c r="L36" s="297">
        <v>1.3943932721700001</v>
      </c>
      <c r="M36" s="297">
        <v>0.83568938228000011</v>
      </c>
      <c r="N36" s="297">
        <v>7.7400856257000008</v>
      </c>
      <c r="O36" s="297">
        <v>66.375687262750006</v>
      </c>
      <c r="P36" s="297">
        <v>6.9248762804799995</v>
      </c>
      <c r="Q36" s="297">
        <v>6.6862837102500006</v>
      </c>
      <c r="R36" s="297">
        <v>1.0764688371600002</v>
      </c>
      <c r="S36" s="297">
        <v>0.89971783235000014</v>
      </c>
      <c r="T36" s="297">
        <v>406.03142736133998</v>
      </c>
      <c r="U36" s="297">
        <v>32.886087471929997</v>
      </c>
      <c r="V36" s="88">
        <v>68</v>
      </c>
      <c r="W36" s="117"/>
      <c r="X36" s="118"/>
      <c r="Y36" s="120"/>
      <c r="Z36" s="118"/>
      <c r="AA36" s="118"/>
      <c r="AB36" s="118"/>
      <c r="AC36" s="118"/>
      <c r="AD36" s="118"/>
      <c r="AE36" s="119"/>
      <c r="AF36" s="119"/>
      <c r="AG36" s="177"/>
    </row>
    <row r="37" spans="2:33" ht="16.5" customHeight="1" x14ac:dyDescent="0.15">
      <c r="B37" s="2"/>
      <c r="C37" s="33" t="s">
        <v>90</v>
      </c>
      <c r="D37" s="314">
        <v>187221</v>
      </c>
      <c r="E37" s="317">
        <v>8.0740659999700011</v>
      </c>
      <c r="F37" s="317">
        <v>0.6379262778</v>
      </c>
      <c r="G37" s="317">
        <v>2.5077853724699999</v>
      </c>
      <c r="H37" s="297">
        <v>0.39414691612000002</v>
      </c>
      <c r="I37" s="297">
        <v>0.26480628480000001</v>
      </c>
      <c r="J37" s="297">
        <v>0.12081828053</v>
      </c>
      <c r="K37" s="297">
        <v>0.33199550116000004</v>
      </c>
      <c r="L37" s="297">
        <v>0.12196403523</v>
      </c>
      <c r="M37" s="297">
        <v>9.6366815000000008E-2</v>
      </c>
      <c r="N37" s="297">
        <v>0.63132896131999972</v>
      </c>
      <c r="O37" s="297">
        <v>6.13171265141</v>
      </c>
      <c r="P37" s="297">
        <v>0.56580445965000004</v>
      </c>
      <c r="Q37" s="297">
        <v>0.58987231632000003</v>
      </c>
      <c r="R37" s="297">
        <v>8.1596967249999999E-2</v>
      </c>
      <c r="S37" s="297">
        <v>0.10776871535999999</v>
      </c>
      <c r="T37" s="297">
        <v>20.231259424489998</v>
      </c>
      <c r="U37" s="297">
        <v>2.3001880526600003</v>
      </c>
      <c r="V37" s="88">
        <v>71</v>
      </c>
      <c r="W37" s="117"/>
      <c r="X37" s="118"/>
      <c r="Y37" s="120"/>
      <c r="Z37" s="118"/>
      <c r="AA37" s="118"/>
      <c r="AB37" s="118"/>
      <c r="AC37" s="118"/>
      <c r="AD37" s="118"/>
      <c r="AE37" s="119"/>
      <c r="AF37" s="119"/>
      <c r="AG37" s="177"/>
    </row>
    <row r="38" spans="2:33" ht="16.5" customHeight="1" x14ac:dyDescent="0.15">
      <c r="B38" s="2"/>
      <c r="C38" s="33" t="s">
        <v>86</v>
      </c>
      <c r="D38" s="314">
        <v>53145</v>
      </c>
      <c r="E38" s="317">
        <v>2.7122415377800002</v>
      </c>
      <c r="F38" s="317">
        <v>0.22514674112000002</v>
      </c>
      <c r="G38" s="317">
        <v>0.42824785507999996</v>
      </c>
      <c r="H38" s="297">
        <v>0.13758337186</v>
      </c>
      <c r="I38" s="297">
        <v>8.5975369680000011E-2</v>
      </c>
      <c r="J38" s="297">
        <v>3.6121105969999998E-2</v>
      </c>
      <c r="K38" s="297">
        <v>6.5882307809999999E-2</v>
      </c>
      <c r="L38" s="297">
        <v>2.639894684E-2</v>
      </c>
      <c r="M38" s="297">
        <v>4.5187221350000001E-2</v>
      </c>
      <c r="N38" s="297">
        <v>0.21892034890000001</v>
      </c>
      <c r="O38" s="297">
        <v>2.1059514292200001</v>
      </c>
      <c r="P38" s="297">
        <v>0.23639379051999998</v>
      </c>
      <c r="Q38" s="297">
        <v>0.23311859325000001</v>
      </c>
      <c r="R38" s="297">
        <v>3.2613063559999995E-2</v>
      </c>
      <c r="S38" s="297">
        <v>2.9664206259999999E-2</v>
      </c>
      <c r="T38" s="297">
        <v>3.3252923078400003</v>
      </c>
      <c r="U38" s="297">
        <v>0.42296500647000002</v>
      </c>
      <c r="V38" s="88">
        <v>74</v>
      </c>
      <c r="W38" s="117"/>
      <c r="X38" s="118"/>
      <c r="Y38" s="120"/>
      <c r="Z38" s="118"/>
      <c r="AA38" s="118"/>
      <c r="AB38" s="118"/>
      <c r="AC38" s="118"/>
      <c r="AD38" s="118"/>
      <c r="AE38" s="119"/>
      <c r="AF38" s="119"/>
      <c r="AG38" s="177"/>
    </row>
    <row r="39" spans="2:33" ht="16.5" customHeight="1" x14ac:dyDescent="0.15">
      <c r="B39" s="2"/>
      <c r="C39" s="33" t="s">
        <v>105</v>
      </c>
      <c r="D39" s="314">
        <v>1035039</v>
      </c>
      <c r="E39" s="317">
        <v>45.799976567350001</v>
      </c>
      <c r="F39" s="317">
        <v>7.0078394028499993</v>
      </c>
      <c r="G39" s="317">
        <v>24.346576329679998</v>
      </c>
      <c r="H39" s="297">
        <v>1.9530535546500001</v>
      </c>
      <c r="I39" s="297">
        <v>0.91304100887999995</v>
      </c>
      <c r="J39" s="297">
        <v>0.54130827647000002</v>
      </c>
      <c r="K39" s="297">
        <v>1.3637846337100001</v>
      </c>
      <c r="L39" s="297">
        <v>0.56622581353000001</v>
      </c>
      <c r="M39" s="297">
        <v>0.41084701521</v>
      </c>
      <c r="N39" s="297">
        <v>4.4848885557600005</v>
      </c>
      <c r="O39" s="297">
        <v>35.715969937479997</v>
      </c>
      <c r="P39" s="297">
        <v>3.4237772383400005</v>
      </c>
      <c r="Q39" s="297">
        <v>3.46600554794</v>
      </c>
      <c r="R39" s="297">
        <v>0.45925145244999999</v>
      </c>
      <c r="S39" s="297">
        <v>0.52537316874999995</v>
      </c>
      <c r="T39" s="297">
        <v>227.26582253504</v>
      </c>
      <c r="U39" s="297">
        <v>19.636098168589999</v>
      </c>
      <c r="V39" s="88">
        <v>77</v>
      </c>
      <c r="W39" s="117"/>
      <c r="X39" s="118"/>
      <c r="Y39" s="120"/>
      <c r="Z39" s="118"/>
      <c r="AA39" s="118"/>
      <c r="AB39" s="118"/>
      <c r="AC39" s="118"/>
      <c r="AD39" s="118"/>
      <c r="AE39" s="119"/>
      <c r="AF39" s="119"/>
      <c r="AG39" s="177"/>
    </row>
    <row r="40" spans="2:33" ht="16.5" customHeight="1" x14ac:dyDescent="0.15">
      <c r="B40" s="2"/>
      <c r="C40" s="33" t="s">
        <v>112</v>
      </c>
      <c r="D40" s="314">
        <v>8528855</v>
      </c>
      <c r="E40" s="317">
        <v>416.64144560894999</v>
      </c>
      <c r="F40" s="317">
        <v>89.13431221482</v>
      </c>
      <c r="G40" s="317">
        <v>253.42053624357001</v>
      </c>
      <c r="H40" s="297">
        <v>17.916084798409997</v>
      </c>
      <c r="I40" s="297">
        <v>9.3465701878799994</v>
      </c>
      <c r="J40" s="297">
        <v>5.4862571983599997</v>
      </c>
      <c r="K40" s="297">
        <v>16.44781495638</v>
      </c>
      <c r="L40" s="297">
        <v>5.4702966442900003</v>
      </c>
      <c r="M40" s="297">
        <v>3.6059154239100004</v>
      </c>
      <c r="N40" s="297">
        <v>34.235774633490003</v>
      </c>
      <c r="O40" s="297">
        <v>326.11335817565998</v>
      </c>
      <c r="P40" s="297">
        <v>37.697834420100001</v>
      </c>
      <c r="Q40" s="297">
        <v>37.895608436949999</v>
      </c>
      <c r="R40" s="297">
        <v>4.46150916718</v>
      </c>
      <c r="S40" s="297">
        <v>5.2101617559199997</v>
      </c>
      <c r="T40" s="297">
        <v>2403.5551528747201</v>
      </c>
      <c r="U40" s="297">
        <v>179.76865970071</v>
      </c>
      <c r="V40" s="88">
        <v>80</v>
      </c>
      <c r="W40" s="117"/>
      <c r="X40" s="118"/>
      <c r="Y40" s="120"/>
      <c r="Z40" s="118"/>
      <c r="AA40" s="118"/>
      <c r="AB40" s="118"/>
      <c r="AC40" s="118"/>
      <c r="AD40" s="118"/>
      <c r="AE40" s="119"/>
      <c r="AF40" s="119"/>
      <c r="AG40" s="177"/>
    </row>
    <row r="41" spans="2:33" ht="16.5" customHeight="1" x14ac:dyDescent="0.15">
      <c r="B41" s="2"/>
      <c r="C41" s="33" t="s">
        <v>93</v>
      </c>
      <c r="D41" s="314">
        <v>194769</v>
      </c>
      <c r="E41" s="317">
        <v>10.47794657717</v>
      </c>
      <c r="F41" s="317">
        <v>1.09176025396</v>
      </c>
      <c r="G41" s="317">
        <v>2.4941609164900003</v>
      </c>
      <c r="H41" s="297">
        <v>0.59812959128999998</v>
      </c>
      <c r="I41" s="297">
        <v>0.26412734724000003</v>
      </c>
      <c r="J41" s="297">
        <v>0.19461583774999999</v>
      </c>
      <c r="K41" s="297">
        <v>0.39557728641000001</v>
      </c>
      <c r="L41" s="297">
        <v>7.6312430819999999E-2</v>
      </c>
      <c r="M41" s="297">
        <v>0.13718345515000002</v>
      </c>
      <c r="N41" s="297">
        <v>0.7440635875099999</v>
      </c>
      <c r="O41" s="297">
        <v>8.0990332738900008</v>
      </c>
      <c r="P41" s="297">
        <v>0.95575941053000002</v>
      </c>
      <c r="Q41" s="297">
        <v>0.91982648785999999</v>
      </c>
      <c r="R41" s="297">
        <v>0.15158753320000001</v>
      </c>
      <c r="S41" s="297">
        <v>0.12175509131999999</v>
      </c>
      <c r="T41" s="297">
        <v>25.166378651080002</v>
      </c>
      <c r="U41" s="297">
        <v>2.8252767302399997</v>
      </c>
      <c r="V41" s="88">
        <v>83</v>
      </c>
      <c r="W41" s="117"/>
      <c r="X41" s="118"/>
      <c r="Y41" s="120"/>
      <c r="Z41" s="118"/>
      <c r="AA41" s="118"/>
      <c r="AB41" s="118"/>
      <c r="AC41" s="118"/>
      <c r="AD41" s="118"/>
      <c r="AE41" s="119"/>
      <c r="AF41" s="119"/>
      <c r="AG41" s="177"/>
    </row>
    <row r="42" spans="2:33" ht="16.5" customHeight="1" thickBot="1" x14ac:dyDescent="0.2">
      <c r="B42" s="2"/>
      <c r="C42" s="318" t="s">
        <v>89</v>
      </c>
      <c r="D42" s="315">
        <v>136015</v>
      </c>
      <c r="E42" s="319">
        <v>6.0755793116299994</v>
      </c>
      <c r="F42" s="319">
        <v>0.52364856633000001</v>
      </c>
      <c r="G42" s="319">
        <v>1.40978808302</v>
      </c>
      <c r="H42" s="298">
        <v>0.37029482634999999</v>
      </c>
      <c r="I42" s="298">
        <v>0.20564791691999998</v>
      </c>
      <c r="J42" s="298">
        <v>0.10310618411</v>
      </c>
      <c r="K42" s="298">
        <v>0.26753898509000001</v>
      </c>
      <c r="L42" s="298">
        <v>0.1478181979</v>
      </c>
      <c r="M42" s="298">
        <v>5.6113843640000008E-2</v>
      </c>
      <c r="N42" s="298">
        <v>0.43361205658999991</v>
      </c>
      <c r="O42" s="298">
        <v>4.5506488111899994</v>
      </c>
      <c r="P42" s="298">
        <v>0.43100353006000003</v>
      </c>
      <c r="Q42" s="298">
        <v>0.47348458084</v>
      </c>
      <c r="R42" s="298">
        <v>4.9048579199999998E-2</v>
      </c>
      <c r="S42" s="298">
        <v>9.1985368399999989E-2</v>
      </c>
      <c r="T42" s="298">
        <v>21.076193543830001</v>
      </c>
      <c r="U42" s="298">
        <v>2.2204379483599999</v>
      </c>
      <c r="V42" s="88">
        <v>86</v>
      </c>
      <c r="W42" s="117"/>
      <c r="X42" s="118"/>
      <c r="Y42" s="120"/>
      <c r="Z42" s="118"/>
      <c r="AA42" s="118"/>
      <c r="AB42" s="118"/>
      <c r="AC42" s="118"/>
      <c r="AD42" s="118"/>
      <c r="AE42" s="119"/>
      <c r="AF42" s="119"/>
      <c r="AG42" s="177"/>
    </row>
    <row r="43" spans="2:33" ht="17.25" customHeight="1" thickBot="1" x14ac:dyDescent="0.2">
      <c r="B43" s="2"/>
      <c r="C43" s="25" t="s">
        <v>64</v>
      </c>
      <c r="D43" s="89">
        <v>26494416</v>
      </c>
      <c r="E43" s="90">
        <v>1293.2053016929201</v>
      </c>
      <c r="F43" s="90">
        <v>207.36144886296</v>
      </c>
      <c r="G43" s="90">
        <v>632.17126170038</v>
      </c>
      <c r="H43" s="90">
        <v>62.362978285419999</v>
      </c>
      <c r="I43" s="90">
        <v>30.385130287439999</v>
      </c>
      <c r="J43" s="90">
        <v>18.94470469386</v>
      </c>
      <c r="K43" s="90">
        <v>51.019698709410001</v>
      </c>
      <c r="L43" s="90">
        <v>17.09040650623</v>
      </c>
      <c r="M43" s="90">
        <v>12.943905911060002</v>
      </c>
      <c r="N43" s="90">
        <v>102.38576893313999</v>
      </c>
      <c r="O43" s="90">
        <v>1004.5119546503099</v>
      </c>
      <c r="P43" s="90">
        <v>114.23238902445</v>
      </c>
      <c r="Q43" s="90">
        <v>114.80238511960997</v>
      </c>
      <c r="R43" s="90">
        <v>14.563077486760001</v>
      </c>
      <c r="S43" s="90">
        <v>16.50352849866</v>
      </c>
      <c r="T43" s="90">
        <v>5825.4776990356595</v>
      </c>
      <c r="U43" s="90">
        <v>508.89844947744001</v>
      </c>
      <c r="V43" s="22"/>
    </row>
    <row r="44" spans="2:33" ht="15" customHeight="1" x14ac:dyDescent="0.15">
      <c r="B44" s="2"/>
      <c r="V44" s="22"/>
    </row>
    <row r="45" spans="2:33" ht="15" customHeight="1" thickBot="1" x14ac:dyDescent="0.2">
      <c r="B45" s="28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85"/>
      <c r="R45" s="185"/>
      <c r="S45" s="185"/>
      <c r="T45" s="13"/>
      <c r="U45" s="13"/>
      <c r="V45" s="27"/>
    </row>
    <row r="46" spans="2:33" ht="1" customHeight="1" x14ac:dyDescent="0.15"/>
  </sheetData>
  <sheetProtection selectLockedCells="1" selectUnlockedCells="1"/>
  <mergeCells count="13">
    <mergeCell ref="U12:U13"/>
    <mergeCell ref="O12:O13"/>
    <mergeCell ref="P12:P13"/>
    <mergeCell ref="T12:T13"/>
    <mergeCell ref="C12:C13"/>
    <mergeCell ref="D12:D13"/>
    <mergeCell ref="E12:E13"/>
    <mergeCell ref="F12:F13"/>
    <mergeCell ref="G12:G13"/>
    <mergeCell ref="H12:N12"/>
    <mergeCell ref="Q12:Q13"/>
    <mergeCell ref="R12:R13"/>
    <mergeCell ref="S12:S13"/>
  </mergeCells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74" firstPageNumber="0" fitToHeight="0" orientation="landscape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7">
    <pageSetUpPr fitToPage="1"/>
  </sheetPr>
  <dimension ref="B3:AG81"/>
  <sheetViews>
    <sheetView showGridLines="0" topLeftCell="H9" zoomScale="124" zoomScaleNormal="124" zoomScalePageLayoutView="150" workbookViewId="0">
      <selection activeCell="X15" sqref="X15"/>
    </sheetView>
  </sheetViews>
  <sheetFormatPr baseColWidth="10" defaultColWidth="8.83203125" defaultRowHeight="13" x14ac:dyDescent="0.15"/>
  <cols>
    <col min="1" max="2" width="3.33203125" style="1" customWidth="1"/>
    <col min="3" max="3" width="55.1640625" style="1" customWidth="1"/>
    <col min="4" max="4" width="11" style="1" customWidth="1"/>
    <col min="5" max="5" width="9.6640625" style="1" customWidth="1"/>
    <col min="6" max="6" width="11.6640625" style="1" customWidth="1"/>
    <col min="7" max="8" width="15.83203125" style="1" customWidth="1"/>
    <col min="9" max="9" width="12" style="1" bestFit="1" customWidth="1"/>
    <col min="10" max="10" width="9.1640625" style="1" customWidth="1"/>
    <col min="11" max="14" width="8.6640625" style="1" customWidth="1"/>
    <col min="15" max="15" width="9.5" style="1" customWidth="1"/>
    <col min="16" max="16" width="9.83203125" style="1" customWidth="1"/>
    <col min="17" max="17" width="9.5" style="1" customWidth="1"/>
    <col min="18" max="19" width="8.6640625" style="1" customWidth="1"/>
    <col min="20" max="21" width="9.6640625" style="1" customWidth="1"/>
    <col min="22" max="22" width="3.33203125" style="1" customWidth="1"/>
    <col min="23" max="24" width="8.83203125" style="1"/>
    <col min="25" max="25" width="10.5" style="1" customWidth="1"/>
    <col min="26" max="30" width="8.83203125" style="1"/>
    <col min="31" max="31" width="14.33203125" style="1" customWidth="1"/>
    <col min="32" max="32" width="11.83203125" style="1" customWidth="1"/>
    <col min="33" max="16384" width="8.83203125" style="1"/>
  </cols>
  <sheetData>
    <row r="3" spans="2:24" ht="14" thickBot="1" x14ac:dyDescent="0.2">
      <c r="B3" s="184">
        <v>2.5</v>
      </c>
      <c r="C3" s="9">
        <v>60</v>
      </c>
      <c r="D3" s="9">
        <v>11</v>
      </c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4">
        <v>2.5</v>
      </c>
    </row>
    <row r="4" spans="2:24" ht="17" customHeight="1" x14ac:dyDescent="0.15">
      <c r="B4" s="69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82"/>
    </row>
    <row r="5" spans="2:24" ht="17" customHeight="1" x14ac:dyDescent="0.15">
      <c r="B5" s="72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4" t="s">
        <v>454</v>
      </c>
      <c r="V5" s="75"/>
    </row>
    <row r="6" spans="2:24" ht="17" customHeight="1" x14ac:dyDescent="0.15"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5"/>
    </row>
    <row r="7" spans="2:24" ht="17" customHeight="1" x14ac:dyDescent="0.15">
      <c r="B7" s="72"/>
      <c r="C7" s="77" t="s">
        <v>438</v>
      </c>
      <c r="D7" s="86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75"/>
    </row>
    <row r="8" spans="2:24" ht="17" customHeight="1" x14ac:dyDescent="0.15">
      <c r="B8" s="72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5"/>
    </row>
    <row r="9" spans="2:24" ht="17" customHeight="1" x14ac:dyDescent="0.15">
      <c r="B9" s="2"/>
      <c r="V9" s="22"/>
    </row>
    <row r="10" spans="2:24" ht="17" customHeight="1" x14ac:dyDescent="0.15">
      <c r="B10" s="2"/>
      <c r="C10" s="12" t="s">
        <v>405</v>
      </c>
      <c r="D10" s="12"/>
      <c r="E10" s="12"/>
      <c r="F10" s="12"/>
      <c r="V10" s="22"/>
    </row>
    <row r="11" spans="2:24" ht="17" customHeight="1" thickBot="1" x14ac:dyDescent="0.2">
      <c r="B11" s="2"/>
      <c r="C11" s="12"/>
      <c r="S11" s="11"/>
      <c r="T11" s="11"/>
      <c r="U11" s="11" t="s">
        <v>39</v>
      </c>
      <c r="V11" s="22"/>
    </row>
    <row r="12" spans="2:24" ht="15" customHeight="1" thickBot="1" x14ac:dyDescent="0.2">
      <c r="B12" s="2"/>
      <c r="C12" s="477" t="s">
        <v>15</v>
      </c>
      <c r="D12" s="477" t="s">
        <v>68</v>
      </c>
      <c r="E12" s="477" t="s">
        <v>363</v>
      </c>
      <c r="F12" s="477" t="s">
        <v>374</v>
      </c>
      <c r="G12" s="477" t="s">
        <v>0</v>
      </c>
      <c r="H12" s="481" t="s">
        <v>7</v>
      </c>
      <c r="I12" s="481"/>
      <c r="J12" s="481"/>
      <c r="K12" s="481"/>
      <c r="L12" s="481"/>
      <c r="M12" s="481"/>
      <c r="N12" s="481"/>
      <c r="O12" s="477" t="s">
        <v>66</v>
      </c>
      <c r="P12" s="477" t="s">
        <v>40</v>
      </c>
      <c r="Q12" s="477" t="s">
        <v>360</v>
      </c>
      <c r="R12" s="477" t="s">
        <v>361</v>
      </c>
      <c r="S12" s="477" t="s">
        <v>362</v>
      </c>
      <c r="T12" s="477" t="s">
        <v>44</v>
      </c>
      <c r="U12" s="477" t="s">
        <v>46</v>
      </c>
      <c r="V12" s="22"/>
    </row>
    <row r="13" spans="2:24" ht="45" customHeight="1" thickBot="1" x14ac:dyDescent="0.2">
      <c r="B13" s="2"/>
      <c r="C13" s="487"/>
      <c r="D13" s="487"/>
      <c r="E13" s="487"/>
      <c r="F13" s="487"/>
      <c r="G13" s="487"/>
      <c r="H13" s="191" t="s">
        <v>1</v>
      </c>
      <c r="I13" s="191" t="s">
        <v>2</v>
      </c>
      <c r="J13" s="191" t="s">
        <v>3</v>
      </c>
      <c r="K13" s="191" t="s">
        <v>4</v>
      </c>
      <c r="L13" s="191" t="s">
        <v>5</v>
      </c>
      <c r="M13" s="191" t="s">
        <v>67</v>
      </c>
      <c r="N13" s="191" t="s">
        <v>6</v>
      </c>
      <c r="O13" s="487"/>
      <c r="P13" s="487"/>
      <c r="Q13" s="487"/>
      <c r="R13" s="487"/>
      <c r="S13" s="487"/>
      <c r="T13" s="487"/>
      <c r="U13" s="487"/>
      <c r="V13" s="22"/>
      <c r="X13" s="472" t="s">
        <v>580</v>
      </c>
    </row>
    <row r="14" spans="2:24" ht="19" customHeight="1" x14ac:dyDescent="0.15">
      <c r="B14" s="2"/>
      <c r="C14" s="195" t="s">
        <v>113</v>
      </c>
      <c r="D14" s="279">
        <v>3724257</v>
      </c>
      <c r="E14" s="282">
        <v>104.03588335307001</v>
      </c>
      <c r="F14" s="282">
        <v>9.3291102271300002</v>
      </c>
      <c r="G14" s="282">
        <v>22.159533152249999</v>
      </c>
      <c r="H14" s="321">
        <v>3.8065626420200003</v>
      </c>
      <c r="I14" s="321">
        <v>2.9092866537600002</v>
      </c>
      <c r="J14" s="321">
        <v>1.1279018322000001</v>
      </c>
      <c r="K14" s="321">
        <v>1.6282273840000001</v>
      </c>
      <c r="L14" s="321">
        <v>0.62768195111000002</v>
      </c>
      <c r="M14" s="321">
        <v>0.24698060217000001</v>
      </c>
      <c r="N14" s="321">
        <v>13.128193897570002</v>
      </c>
      <c r="O14" s="321">
        <v>81.244189093380001</v>
      </c>
      <c r="P14" s="321">
        <v>2.8448884309400002</v>
      </c>
      <c r="Q14" s="321">
        <v>3.4528795578900002</v>
      </c>
      <c r="R14" s="321">
        <v>0.45580832771999996</v>
      </c>
      <c r="S14" s="321">
        <v>1.17021359345</v>
      </c>
      <c r="T14" s="321">
        <v>141.43871787492</v>
      </c>
      <c r="U14" s="321">
        <v>17.78456607156</v>
      </c>
      <c r="V14" s="88">
        <v>0</v>
      </c>
      <c r="X14" s="118">
        <f>(E20)/(E20+G20)</f>
        <v>0.63564833465253612</v>
      </c>
    </row>
    <row r="15" spans="2:24" ht="19" customHeight="1" x14ac:dyDescent="0.15">
      <c r="B15" s="2"/>
      <c r="C15" s="196" t="s">
        <v>114</v>
      </c>
      <c r="D15" s="280">
        <v>756</v>
      </c>
      <c r="E15" s="283">
        <v>2.7259875070000002E-2</v>
      </c>
      <c r="F15" s="283">
        <v>3.4375139800000001E-3</v>
      </c>
      <c r="G15" s="283">
        <v>1.5267126919999999E-2</v>
      </c>
      <c r="H15" s="328">
        <v>9.2459993999999995E-4</v>
      </c>
      <c r="I15" s="328">
        <v>4.4780988000000003E-4</v>
      </c>
      <c r="J15" s="328">
        <v>1.5626551999999998E-4</v>
      </c>
      <c r="K15" s="328">
        <v>1.1167644500000001E-3</v>
      </c>
      <c r="L15" s="328">
        <v>3.31381E-4</v>
      </c>
      <c r="M15" s="328">
        <v>2.3064787E-4</v>
      </c>
      <c r="N15" s="328">
        <v>3.1645799200000005E-3</v>
      </c>
      <c r="O15" s="328">
        <v>2.1244924120000001E-2</v>
      </c>
      <c r="P15" s="328">
        <v>1.75225062E-3</v>
      </c>
      <c r="Q15" s="328">
        <v>1.6734623899999999E-3</v>
      </c>
      <c r="R15" s="328">
        <v>3.6894306000000003E-4</v>
      </c>
      <c r="S15" s="328">
        <v>3.1268234E-4</v>
      </c>
      <c r="T15" s="328">
        <v>8.6510537129999995E-2</v>
      </c>
      <c r="U15" s="328">
        <v>3.7086004500000002E-3</v>
      </c>
      <c r="V15" s="88">
        <v>1</v>
      </c>
    </row>
    <row r="16" spans="2:24" ht="19" customHeight="1" x14ac:dyDescent="0.15">
      <c r="B16" s="2"/>
      <c r="C16" s="196" t="s">
        <v>143</v>
      </c>
      <c r="D16" s="280">
        <v>5815667</v>
      </c>
      <c r="E16" s="283">
        <v>330.50257743782004</v>
      </c>
      <c r="F16" s="283">
        <v>47.293869012119998</v>
      </c>
      <c r="G16" s="448">
        <v>70.95582152886</v>
      </c>
      <c r="H16" s="328">
        <v>16.311086704499999</v>
      </c>
      <c r="I16" s="328">
        <v>10.52833220664</v>
      </c>
      <c r="J16" s="328">
        <v>6.6496357748700001</v>
      </c>
      <c r="K16" s="328">
        <v>11.17660813374</v>
      </c>
      <c r="L16" s="328">
        <v>0.60672121453999994</v>
      </c>
      <c r="M16" s="328">
        <v>3.16068899423</v>
      </c>
      <c r="N16" s="328">
        <v>24.255829448439997</v>
      </c>
      <c r="O16" s="328">
        <v>259.07551624181002</v>
      </c>
      <c r="P16" s="328">
        <v>30.895625061270003</v>
      </c>
      <c r="Q16" s="328">
        <v>33.246172475400002</v>
      </c>
      <c r="R16" s="328">
        <v>2.1532803083500003</v>
      </c>
      <c r="S16" s="328">
        <v>4.8573459949600002</v>
      </c>
      <c r="T16" s="328">
        <v>848.92206499581994</v>
      </c>
      <c r="U16" s="328">
        <v>89.368602990690007</v>
      </c>
      <c r="V16" s="88">
        <v>2</v>
      </c>
    </row>
    <row r="17" spans="2:33" ht="19" customHeight="1" x14ac:dyDescent="0.15">
      <c r="B17" s="2"/>
      <c r="C17" s="196" t="s">
        <v>142</v>
      </c>
      <c r="D17" s="280">
        <v>15106</v>
      </c>
      <c r="E17" s="283">
        <v>0.46357456147999998</v>
      </c>
      <c r="F17" s="283">
        <v>5.9324719259999999E-2</v>
      </c>
      <c r="G17" s="283">
        <v>0.11785601335000001</v>
      </c>
      <c r="H17" s="328">
        <v>2.335125717E-2</v>
      </c>
      <c r="I17" s="328">
        <v>1.6428638039999999E-2</v>
      </c>
      <c r="J17" s="328">
        <v>5.9076389900000002E-3</v>
      </c>
      <c r="K17" s="328">
        <v>1.201326275E-2</v>
      </c>
      <c r="L17" s="328">
        <v>1.6555688100000001E-3</v>
      </c>
      <c r="M17" s="328">
        <v>2.05958817E-3</v>
      </c>
      <c r="N17" s="328">
        <v>5.1032926299999996E-2</v>
      </c>
      <c r="O17" s="328">
        <v>0.35874800669999996</v>
      </c>
      <c r="P17" s="328">
        <v>1.721843898E-2</v>
      </c>
      <c r="Q17" s="328">
        <v>2.0151261720000001E-2</v>
      </c>
      <c r="R17" s="328">
        <v>2.2487212500000003E-3</v>
      </c>
      <c r="S17" s="328">
        <v>5.47996625E-3</v>
      </c>
      <c r="T17" s="328">
        <v>0.93724850804999993</v>
      </c>
      <c r="U17" s="328">
        <v>7.1906535699999996E-2</v>
      </c>
      <c r="V17" s="88">
        <v>3</v>
      </c>
      <c r="W17" s="117"/>
      <c r="X17" s="118"/>
      <c r="Y17" s="120"/>
      <c r="Z17" s="118"/>
      <c r="AA17" s="118"/>
      <c r="AB17" s="118"/>
      <c r="AC17" s="118"/>
      <c r="AD17" s="118"/>
      <c r="AE17" s="119"/>
      <c r="AF17" s="119"/>
      <c r="AG17" s="177"/>
    </row>
    <row r="18" spans="2:33" ht="19" customHeight="1" x14ac:dyDescent="0.15">
      <c r="B18" s="2"/>
      <c r="C18" s="196" t="s">
        <v>141</v>
      </c>
      <c r="D18" s="280">
        <v>687585</v>
      </c>
      <c r="E18" s="283">
        <v>52.158201057550002</v>
      </c>
      <c r="F18" s="283">
        <v>13.535590292809999</v>
      </c>
      <c r="G18" s="283">
        <v>11.916399402270001</v>
      </c>
      <c r="H18" s="328">
        <v>3.6132617191899996</v>
      </c>
      <c r="I18" s="328">
        <v>1.28327866128</v>
      </c>
      <c r="J18" s="328">
        <v>1.0608036492999999</v>
      </c>
      <c r="K18" s="328">
        <v>2.2577226261300001</v>
      </c>
      <c r="L18" s="328">
        <v>8.7528217650000004E-2</v>
      </c>
      <c r="M18" s="328">
        <v>0.46106901969000003</v>
      </c>
      <c r="N18" s="328">
        <v>2.56742706002</v>
      </c>
      <c r="O18" s="328">
        <v>40.935542687709997</v>
      </c>
      <c r="P18" s="328">
        <v>5.98978562858</v>
      </c>
      <c r="Q18" s="328">
        <v>6.3516337810000003</v>
      </c>
      <c r="R18" s="328">
        <v>0.41131825659999999</v>
      </c>
      <c r="S18" s="328">
        <v>0.78266846508999999</v>
      </c>
      <c r="T18" s="328">
        <v>174.09671652846998</v>
      </c>
      <c r="U18" s="328">
        <v>25.329104274319999</v>
      </c>
      <c r="V18" s="88">
        <v>4</v>
      </c>
      <c r="W18" s="117"/>
      <c r="X18" s="118"/>
      <c r="Y18" s="120"/>
      <c r="Z18" s="118"/>
      <c r="AA18" s="118"/>
      <c r="AB18" s="118"/>
      <c r="AC18" s="118"/>
      <c r="AD18" s="118"/>
      <c r="AE18" s="119"/>
      <c r="AF18" s="119"/>
      <c r="AG18" s="177"/>
    </row>
    <row r="19" spans="2:33" ht="19" customHeight="1" x14ac:dyDescent="0.15">
      <c r="B19" s="2"/>
      <c r="C19" s="196" t="s">
        <v>140</v>
      </c>
      <c r="D19" s="280">
        <v>37035</v>
      </c>
      <c r="E19" s="283">
        <v>1.9275569324799999</v>
      </c>
      <c r="F19" s="283">
        <v>0.21474091605000001</v>
      </c>
      <c r="G19" s="283">
        <v>0.79566760255000002</v>
      </c>
      <c r="H19" s="328">
        <v>8.1891881319999998E-2</v>
      </c>
      <c r="I19" s="328">
        <v>4.3551058560000001E-2</v>
      </c>
      <c r="J19" s="328">
        <v>2.8416173070000002E-2</v>
      </c>
      <c r="K19" s="328">
        <v>7.3926355540000002E-2</v>
      </c>
      <c r="L19" s="328">
        <v>9.2716828300000009E-3</v>
      </c>
      <c r="M19" s="328">
        <v>1.219677468E-2</v>
      </c>
      <c r="N19" s="328">
        <v>0.16682436896000002</v>
      </c>
      <c r="O19" s="328">
        <v>1.52634063015</v>
      </c>
      <c r="P19" s="328">
        <v>0.17699927697000001</v>
      </c>
      <c r="Q19" s="328">
        <v>0.17755162024999999</v>
      </c>
      <c r="R19" s="328">
        <v>2.3988720240000001E-2</v>
      </c>
      <c r="S19" s="328">
        <v>2.7422647200000001E-2</v>
      </c>
      <c r="T19" s="328">
        <v>8.4660852150900006</v>
      </c>
      <c r="U19" s="328">
        <v>0.60452381860999993</v>
      </c>
      <c r="V19" s="88">
        <v>5</v>
      </c>
      <c r="W19" s="117"/>
      <c r="X19" s="118"/>
      <c r="Y19" s="120"/>
      <c r="Z19" s="118"/>
      <c r="AA19" s="118"/>
      <c r="AB19" s="118"/>
      <c r="AC19" s="118"/>
      <c r="AD19" s="118"/>
      <c r="AE19" s="119"/>
      <c r="AF19" s="119"/>
      <c r="AG19" s="177"/>
    </row>
    <row r="20" spans="2:33" ht="19" customHeight="1" x14ac:dyDescent="0.15">
      <c r="B20" s="2"/>
      <c r="C20" s="196" t="s">
        <v>139</v>
      </c>
      <c r="D20" s="280">
        <v>2665503</v>
      </c>
      <c r="E20" s="283">
        <v>107.58084547453001</v>
      </c>
      <c r="F20" s="283">
        <v>10.73340475875</v>
      </c>
      <c r="G20" s="448">
        <v>61.665008891370007</v>
      </c>
      <c r="H20" s="328">
        <v>2.8479354318399999</v>
      </c>
      <c r="I20" s="328">
        <v>1.50925755948</v>
      </c>
      <c r="J20" s="328">
        <v>0.93351117501000003</v>
      </c>
      <c r="K20" s="328">
        <v>3.05020569688</v>
      </c>
      <c r="L20" s="328">
        <v>9.53504037041</v>
      </c>
      <c r="M20" s="328">
        <v>0.67838861397999994</v>
      </c>
      <c r="N20" s="328">
        <v>9.9407390176299906</v>
      </c>
      <c r="O20" s="328">
        <v>79.402477930489994</v>
      </c>
      <c r="P20" s="328">
        <v>7.6610191748199998</v>
      </c>
      <c r="Q20" s="328">
        <v>6.2081870051199992</v>
      </c>
      <c r="R20" s="328">
        <v>2.0263018390799998</v>
      </c>
      <c r="S20" s="328">
        <v>0.80078206632000004</v>
      </c>
      <c r="T20" s="328">
        <v>583.71738624907994</v>
      </c>
      <c r="U20" s="328">
        <v>49.687789206719998</v>
      </c>
      <c r="V20" s="88">
        <v>6</v>
      </c>
      <c r="W20" s="117"/>
      <c r="X20" s="118"/>
      <c r="Y20" s="120"/>
      <c r="Z20" s="118"/>
      <c r="AA20" s="118"/>
      <c r="AB20" s="118"/>
      <c r="AC20" s="118"/>
      <c r="AD20" s="118"/>
      <c r="AE20" s="119"/>
      <c r="AF20" s="119"/>
      <c r="AG20" s="177"/>
    </row>
    <row r="21" spans="2:33" ht="19" customHeight="1" x14ac:dyDescent="0.15">
      <c r="B21" s="2"/>
      <c r="C21" s="196" t="s">
        <v>138</v>
      </c>
      <c r="D21" s="280">
        <v>4399557</v>
      </c>
      <c r="E21" s="283">
        <v>132.62510831047001</v>
      </c>
      <c r="F21" s="448">
        <v>54.847224281929996</v>
      </c>
      <c r="G21" s="448">
        <v>285.52784280522997</v>
      </c>
      <c r="H21" s="328">
        <v>2.6112702828600001</v>
      </c>
      <c r="I21" s="328">
        <v>1.65574298124</v>
      </c>
      <c r="J21" s="328">
        <v>1.0094045121199999</v>
      </c>
      <c r="K21" s="328">
        <v>3.7863710735199998</v>
      </c>
      <c r="L21" s="328">
        <v>2.3300669147700002</v>
      </c>
      <c r="M21" s="328">
        <v>0.95940688608999991</v>
      </c>
      <c r="N21" s="328">
        <v>15.547666128440005</v>
      </c>
      <c r="O21" s="328">
        <v>105.49239274746</v>
      </c>
      <c r="P21" s="328">
        <v>9.1049067296900006</v>
      </c>
      <c r="Q21" s="328">
        <v>6.7952703947199993</v>
      </c>
      <c r="R21" s="328">
        <v>2.8874041932000001</v>
      </c>
      <c r="S21" s="328">
        <v>0.84828263947999993</v>
      </c>
      <c r="T21" s="328">
        <v>2291.6823800522802</v>
      </c>
      <c r="U21" s="328">
        <v>195.31380267435</v>
      </c>
      <c r="V21" s="88">
        <v>7</v>
      </c>
      <c r="W21" s="117"/>
      <c r="X21" s="118"/>
      <c r="Y21" s="120"/>
      <c r="Z21" s="118"/>
      <c r="AA21" s="118"/>
      <c r="AB21" s="118"/>
      <c r="AC21" s="118"/>
      <c r="AD21" s="118"/>
      <c r="AE21" s="119"/>
      <c r="AF21" s="119"/>
      <c r="AG21" s="177"/>
    </row>
    <row r="22" spans="2:33" ht="19" customHeight="1" x14ac:dyDescent="0.15">
      <c r="B22" s="2"/>
      <c r="C22" s="196" t="s">
        <v>137</v>
      </c>
      <c r="D22" s="280">
        <v>124173</v>
      </c>
      <c r="E22" s="283">
        <v>8.6159584080200009</v>
      </c>
      <c r="F22" s="283">
        <v>5.0775867791399998</v>
      </c>
      <c r="G22" s="283">
        <v>10.584816299029999</v>
      </c>
      <c r="H22" s="328">
        <v>4.3851922439999996E-2</v>
      </c>
      <c r="I22" s="328">
        <v>2.68685928E-2</v>
      </c>
      <c r="J22" s="328">
        <v>1.8223617519999999E-2</v>
      </c>
      <c r="K22" s="328">
        <v>0.43630278162000002</v>
      </c>
      <c r="L22" s="328">
        <v>2.5151301300000001E-2</v>
      </c>
      <c r="M22" s="328">
        <v>3.0272696930000002E-2</v>
      </c>
      <c r="N22" s="328">
        <v>0.73157515133999995</v>
      </c>
      <c r="O22" s="328">
        <v>7.3374993033999996</v>
      </c>
      <c r="P22" s="328">
        <v>1.2127128513700001</v>
      </c>
      <c r="Q22" s="328">
        <v>0.80727701176</v>
      </c>
      <c r="R22" s="328">
        <v>0.33333139445999999</v>
      </c>
      <c r="S22" s="328">
        <v>6.7645743580000001E-2</v>
      </c>
      <c r="T22" s="328">
        <v>156.11884263182</v>
      </c>
      <c r="U22" s="328">
        <v>3.9156974359100003</v>
      </c>
      <c r="V22" s="88">
        <v>8</v>
      </c>
      <c r="W22" s="117"/>
      <c r="X22" s="118"/>
      <c r="Y22" s="120"/>
      <c r="Z22" s="118"/>
      <c r="AA22" s="118"/>
      <c r="AB22" s="118"/>
      <c r="AC22" s="118"/>
      <c r="AD22" s="118"/>
      <c r="AE22" s="119"/>
      <c r="AF22" s="119"/>
      <c r="AG22" s="177"/>
    </row>
    <row r="23" spans="2:33" ht="19" customHeight="1" x14ac:dyDescent="0.15">
      <c r="B23" s="2"/>
      <c r="C23" s="196" t="s">
        <v>136</v>
      </c>
      <c r="D23" s="280">
        <v>388366</v>
      </c>
      <c r="E23" s="283">
        <v>47.482354584520003</v>
      </c>
      <c r="F23" s="283">
        <v>4.9966283992200005</v>
      </c>
      <c r="G23" s="283">
        <v>8.3049877896400002</v>
      </c>
      <c r="H23" s="328">
        <v>4.0221972072400005</v>
      </c>
      <c r="I23" s="328">
        <v>0.79883710763999993</v>
      </c>
      <c r="J23" s="328">
        <v>0.62057155838</v>
      </c>
      <c r="K23" s="328">
        <v>2.5119794624299998</v>
      </c>
      <c r="L23" s="328">
        <v>0.18775855544999998</v>
      </c>
      <c r="M23" s="328">
        <v>0.70971630581999989</v>
      </c>
      <c r="N23" s="328">
        <v>1.2137955046099975</v>
      </c>
      <c r="O23" s="328">
        <v>37.590404969890002</v>
      </c>
      <c r="P23" s="328">
        <v>6.9767110194099997</v>
      </c>
      <c r="Q23" s="328">
        <v>7.4039989966899995</v>
      </c>
      <c r="R23" s="328">
        <v>0.29436912527999998</v>
      </c>
      <c r="S23" s="328">
        <v>0.72351469538000002</v>
      </c>
      <c r="T23" s="328">
        <v>111.46313603237999</v>
      </c>
      <c r="U23" s="328">
        <v>12.759952047099999</v>
      </c>
      <c r="V23" s="88">
        <v>9</v>
      </c>
      <c r="W23" s="117"/>
      <c r="X23" s="118"/>
      <c r="Y23" s="120"/>
      <c r="Z23" s="118"/>
      <c r="AA23" s="118"/>
      <c r="AB23" s="118"/>
      <c r="AC23" s="118"/>
      <c r="AD23" s="118"/>
      <c r="AE23" s="119"/>
      <c r="AF23" s="119"/>
      <c r="AG23" s="177"/>
    </row>
    <row r="24" spans="2:33" ht="19" customHeight="1" x14ac:dyDescent="0.15">
      <c r="B24" s="2"/>
      <c r="C24" s="196" t="s">
        <v>135</v>
      </c>
      <c r="D24" s="280">
        <v>435983</v>
      </c>
      <c r="E24" s="283">
        <v>38.766445830419997</v>
      </c>
      <c r="F24" s="283">
        <v>3.6556011648700002</v>
      </c>
      <c r="G24" s="283">
        <v>5.9788629492199998</v>
      </c>
      <c r="H24" s="328">
        <v>2.9019903679699999</v>
      </c>
      <c r="I24" s="328">
        <v>0.83702682948000007</v>
      </c>
      <c r="J24" s="328">
        <v>0.54401083705999997</v>
      </c>
      <c r="K24" s="328">
        <v>2.2181653237800001</v>
      </c>
      <c r="L24" s="328">
        <v>0.21887253222</v>
      </c>
      <c r="M24" s="328">
        <v>0.53282908967999998</v>
      </c>
      <c r="N24" s="328">
        <v>1.6071627179700005</v>
      </c>
      <c r="O24" s="328">
        <v>30.041612890699998</v>
      </c>
      <c r="P24" s="328">
        <v>4.6322697502499999</v>
      </c>
      <c r="Q24" s="328">
        <v>4.9019971599199996</v>
      </c>
      <c r="R24" s="328">
        <v>0.31856430432999999</v>
      </c>
      <c r="S24" s="328">
        <v>0.59039623547999998</v>
      </c>
      <c r="T24" s="328">
        <v>77.253407032629994</v>
      </c>
      <c r="U24" s="328">
        <v>8.6460284092799995</v>
      </c>
      <c r="V24" s="88">
        <v>10</v>
      </c>
      <c r="W24" s="117"/>
      <c r="X24" s="118"/>
      <c r="Y24" s="120"/>
      <c r="Z24" s="118"/>
      <c r="AA24" s="118"/>
      <c r="AB24" s="118"/>
      <c r="AC24" s="118"/>
      <c r="AD24" s="118"/>
      <c r="AE24" s="119"/>
      <c r="AF24" s="119"/>
      <c r="AG24" s="177"/>
    </row>
    <row r="25" spans="2:33" ht="19" customHeight="1" x14ac:dyDescent="0.15">
      <c r="B25" s="2"/>
      <c r="C25" s="196" t="s">
        <v>134</v>
      </c>
      <c r="D25" s="280">
        <v>300790</v>
      </c>
      <c r="E25" s="283">
        <v>31.700029403070001</v>
      </c>
      <c r="F25" s="283">
        <v>4.1873948961499998</v>
      </c>
      <c r="G25" s="283">
        <v>6.03624441938</v>
      </c>
      <c r="H25" s="328">
        <v>2.7570006962000004</v>
      </c>
      <c r="I25" s="328">
        <v>0.745128813</v>
      </c>
      <c r="J25" s="328">
        <v>0.53390972763</v>
      </c>
      <c r="K25" s="328">
        <v>1.24671118072</v>
      </c>
      <c r="L25" s="328">
        <v>4.7819930369999999E-2</v>
      </c>
      <c r="M25" s="328">
        <v>0.51968078243000004</v>
      </c>
      <c r="N25" s="328">
        <v>0.90107264002999887</v>
      </c>
      <c r="O25" s="328">
        <v>24.997613533299997</v>
      </c>
      <c r="P25" s="328">
        <v>4.4091197528599997</v>
      </c>
      <c r="Q25" s="328">
        <v>4.3169152032899998</v>
      </c>
      <c r="R25" s="328">
        <v>0.36676078227999998</v>
      </c>
      <c r="S25" s="328">
        <v>0.27599747966999999</v>
      </c>
      <c r="T25" s="328">
        <v>68.505156123860004</v>
      </c>
      <c r="U25" s="328">
        <v>7.2908016062799996</v>
      </c>
      <c r="V25" s="88">
        <v>11</v>
      </c>
      <c r="W25" s="117"/>
      <c r="X25" s="118"/>
      <c r="Y25" s="120"/>
      <c r="Z25" s="118"/>
      <c r="AA25" s="118"/>
      <c r="AB25" s="118"/>
      <c r="AC25" s="118"/>
      <c r="AD25" s="118"/>
      <c r="AE25" s="119"/>
      <c r="AF25" s="119"/>
      <c r="AG25" s="177"/>
    </row>
    <row r="26" spans="2:33" ht="19" customHeight="1" x14ac:dyDescent="0.15">
      <c r="B26" s="2"/>
      <c r="C26" s="196" t="s">
        <v>133</v>
      </c>
      <c r="D26" s="280">
        <v>1150733</v>
      </c>
      <c r="E26" s="283">
        <v>89.197172697210007</v>
      </c>
      <c r="F26" s="283">
        <v>8.3404512886900015</v>
      </c>
      <c r="G26" s="283">
        <v>14.903862597030001</v>
      </c>
      <c r="H26" s="328">
        <v>6.31086386552</v>
      </c>
      <c r="I26" s="328">
        <v>2.0892373905600001</v>
      </c>
      <c r="J26" s="328">
        <v>1.50001381474</v>
      </c>
      <c r="K26" s="328">
        <v>4.4973954512900001</v>
      </c>
      <c r="L26" s="328">
        <v>0.72620193111999998</v>
      </c>
      <c r="M26" s="328">
        <v>1.0796809621900001</v>
      </c>
      <c r="N26" s="328">
        <v>4.78030191609</v>
      </c>
      <c r="O26" s="328">
        <v>68.498525701419993</v>
      </c>
      <c r="P26" s="328">
        <v>9.6930369873199993</v>
      </c>
      <c r="Q26" s="328">
        <v>10.27797058746</v>
      </c>
      <c r="R26" s="328">
        <v>0.80808233624000003</v>
      </c>
      <c r="S26" s="328">
        <v>1.4009550897900001</v>
      </c>
      <c r="T26" s="328">
        <v>161.27808793219</v>
      </c>
      <c r="U26" s="328">
        <v>18.245587747590001</v>
      </c>
      <c r="V26" s="88">
        <v>12</v>
      </c>
      <c r="W26" s="117"/>
      <c r="X26" s="118"/>
      <c r="Y26" s="120"/>
      <c r="Z26" s="118"/>
      <c r="AA26" s="118"/>
      <c r="AB26" s="118"/>
      <c r="AC26" s="118"/>
      <c r="AD26" s="118"/>
      <c r="AE26" s="119"/>
      <c r="AF26" s="119"/>
      <c r="AG26" s="177"/>
    </row>
    <row r="27" spans="2:33" ht="19" customHeight="1" x14ac:dyDescent="0.15">
      <c r="B27" s="2"/>
      <c r="C27" s="196" t="s">
        <v>132</v>
      </c>
      <c r="D27" s="280">
        <v>603698</v>
      </c>
      <c r="E27" s="283">
        <v>41.443545213349999</v>
      </c>
      <c r="F27" s="283">
        <v>3.7216787570700003</v>
      </c>
      <c r="G27" s="283">
        <v>6.3266733751699995</v>
      </c>
      <c r="H27" s="328">
        <v>2.5769996922799998</v>
      </c>
      <c r="I27" s="328">
        <v>1.04033664228</v>
      </c>
      <c r="J27" s="328">
        <v>0.75883128870000005</v>
      </c>
      <c r="K27" s="328">
        <v>2.1650951168899999</v>
      </c>
      <c r="L27" s="328">
        <v>0.41314157583</v>
      </c>
      <c r="M27" s="328">
        <v>0.41899976378000003</v>
      </c>
      <c r="N27" s="328">
        <v>2.6370130597100001</v>
      </c>
      <c r="O27" s="328">
        <v>31.617451948750002</v>
      </c>
      <c r="P27" s="328">
        <v>3.95616413163</v>
      </c>
      <c r="Q27" s="328">
        <v>4.1466900647799996</v>
      </c>
      <c r="R27" s="328">
        <v>0.45234112575000002</v>
      </c>
      <c r="S27" s="328">
        <v>0.64849153006000004</v>
      </c>
      <c r="T27" s="328">
        <v>70.803951902929995</v>
      </c>
      <c r="U27" s="328">
        <v>7.8188351541999994</v>
      </c>
      <c r="V27" s="88">
        <v>13</v>
      </c>
      <c r="W27" s="117"/>
      <c r="X27" s="118"/>
      <c r="Y27" s="120"/>
      <c r="Z27" s="118"/>
      <c r="AA27" s="118"/>
      <c r="AB27" s="118"/>
      <c r="AC27" s="118"/>
      <c r="AD27" s="118"/>
      <c r="AE27" s="119"/>
      <c r="AF27" s="119"/>
      <c r="AG27" s="177"/>
    </row>
    <row r="28" spans="2:33" ht="19" customHeight="1" x14ac:dyDescent="0.15">
      <c r="B28" s="2"/>
      <c r="C28" s="196" t="s">
        <v>131</v>
      </c>
      <c r="D28" s="280">
        <v>184876</v>
      </c>
      <c r="E28" s="283">
        <v>14.63813572123</v>
      </c>
      <c r="F28" s="283">
        <v>1.8611331554400001</v>
      </c>
      <c r="G28" s="283">
        <v>3.1169858267200001</v>
      </c>
      <c r="H28" s="328">
        <v>1.0886118624900001</v>
      </c>
      <c r="I28" s="328">
        <v>0.42255092639999997</v>
      </c>
      <c r="J28" s="328">
        <v>0.30387700299000003</v>
      </c>
      <c r="K28" s="328">
        <v>0.78654722059000004</v>
      </c>
      <c r="L28" s="328">
        <v>4.6279133520000001E-2</v>
      </c>
      <c r="M28" s="328">
        <v>0.22268254464999998</v>
      </c>
      <c r="N28" s="328">
        <v>0.66326457015999951</v>
      </c>
      <c r="O28" s="328">
        <v>11.13715950578</v>
      </c>
      <c r="P28" s="328">
        <v>1.5820158843000001</v>
      </c>
      <c r="Q28" s="328">
        <v>1.5835914691699999</v>
      </c>
      <c r="R28" s="328">
        <v>0.18435133993999997</v>
      </c>
      <c r="S28" s="328">
        <v>0.18729494813999997</v>
      </c>
      <c r="T28" s="328">
        <v>33.702351814949999</v>
      </c>
      <c r="U28" s="328">
        <v>2.8138034118699995</v>
      </c>
      <c r="V28" s="88">
        <v>14</v>
      </c>
      <c r="W28" s="117"/>
      <c r="X28" s="118"/>
      <c r="Y28" s="120"/>
      <c r="Z28" s="118"/>
      <c r="AA28" s="118"/>
      <c r="AB28" s="118"/>
      <c r="AC28" s="118"/>
      <c r="AD28" s="118"/>
      <c r="AE28" s="119"/>
      <c r="AF28" s="119"/>
      <c r="AG28" s="177"/>
    </row>
    <row r="29" spans="2:33" ht="19" customHeight="1" x14ac:dyDescent="0.15">
      <c r="B29" s="2"/>
      <c r="C29" s="196" t="s">
        <v>130</v>
      </c>
      <c r="D29" s="280">
        <v>959714</v>
      </c>
      <c r="E29" s="283">
        <v>54.096314231839997</v>
      </c>
      <c r="F29" s="283">
        <v>4.3674991981</v>
      </c>
      <c r="G29" s="283">
        <v>6.5731224140500002</v>
      </c>
      <c r="H29" s="328">
        <v>2.9156594091699999</v>
      </c>
      <c r="I29" s="328">
        <v>1.5069710463599999</v>
      </c>
      <c r="J29" s="328">
        <v>0.94275942932000001</v>
      </c>
      <c r="K29" s="328">
        <v>2.3598559245400001</v>
      </c>
      <c r="L29" s="328">
        <v>0.27929893918999998</v>
      </c>
      <c r="M29" s="328">
        <v>0.38875641042000003</v>
      </c>
      <c r="N29" s="328">
        <v>4.2668470261400007</v>
      </c>
      <c r="O29" s="328">
        <v>41.613121152099993</v>
      </c>
      <c r="P29" s="328">
        <v>4.3530645579899998</v>
      </c>
      <c r="Q29" s="328">
        <v>4.3436624942000002</v>
      </c>
      <c r="R29" s="328">
        <v>0.69789163526999998</v>
      </c>
      <c r="S29" s="328">
        <v>0.69321029616999996</v>
      </c>
      <c r="T29" s="328">
        <v>82.77326816723</v>
      </c>
      <c r="U29" s="328">
        <v>10.091829687819999</v>
      </c>
      <c r="V29" s="88">
        <v>15</v>
      </c>
      <c r="W29" s="117"/>
      <c r="X29" s="118"/>
      <c r="Y29" s="120"/>
      <c r="Z29" s="118"/>
      <c r="AA29" s="118"/>
      <c r="AB29" s="118"/>
      <c r="AC29" s="118"/>
      <c r="AD29" s="118"/>
      <c r="AE29" s="119"/>
      <c r="AF29" s="119"/>
      <c r="AG29" s="177"/>
    </row>
    <row r="30" spans="2:33" ht="19" customHeight="1" x14ac:dyDescent="0.15">
      <c r="B30" s="2"/>
      <c r="C30" s="196" t="s">
        <v>129</v>
      </c>
      <c r="D30" s="280">
        <v>363684</v>
      </c>
      <c r="E30" s="283">
        <v>20.127765923749998</v>
      </c>
      <c r="F30" s="283">
        <v>1.61518098668</v>
      </c>
      <c r="G30" s="283">
        <v>2.3876171632699998</v>
      </c>
      <c r="H30" s="328">
        <v>1.06951718491</v>
      </c>
      <c r="I30" s="328">
        <v>0.5633675290800001</v>
      </c>
      <c r="J30" s="328">
        <v>0.35625514339999997</v>
      </c>
      <c r="K30" s="328">
        <v>0.8881975890599999</v>
      </c>
      <c r="L30" s="328">
        <v>0.14099406495</v>
      </c>
      <c r="M30" s="328">
        <v>0.1324502119</v>
      </c>
      <c r="N30" s="328">
        <v>1.6185953038499998</v>
      </c>
      <c r="O30" s="328">
        <v>15.427966414969999</v>
      </c>
      <c r="P30" s="328">
        <v>1.5557387829099998</v>
      </c>
      <c r="Q30" s="328">
        <v>1.52596692643</v>
      </c>
      <c r="R30" s="328">
        <v>0.27347171522999997</v>
      </c>
      <c r="S30" s="328">
        <v>0.24533234462000003</v>
      </c>
      <c r="T30" s="328">
        <v>29.646704843169999</v>
      </c>
      <c r="U30" s="328">
        <v>4.1197154882499998</v>
      </c>
      <c r="V30" s="88">
        <v>16</v>
      </c>
      <c r="W30" s="117"/>
      <c r="X30" s="118"/>
      <c r="Y30" s="120"/>
      <c r="Z30" s="118"/>
      <c r="AA30" s="118"/>
      <c r="AB30" s="118"/>
      <c r="AC30" s="118"/>
      <c r="AD30" s="118"/>
      <c r="AE30" s="119"/>
      <c r="AF30" s="119"/>
      <c r="AG30" s="177"/>
    </row>
    <row r="31" spans="2:33" ht="19" customHeight="1" x14ac:dyDescent="0.15">
      <c r="B31" s="2"/>
      <c r="C31" s="196" t="s">
        <v>128</v>
      </c>
      <c r="D31" s="280">
        <v>102518</v>
      </c>
      <c r="E31" s="283">
        <v>6.3755703066600002</v>
      </c>
      <c r="F31" s="283">
        <v>0.63026704244999998</v>
      </c>
      <c r="G31" s="283">
        <v>1.07243814766</v>
      </c>
      <c r="H31" s="328">
        <v>0.37469431895999999</v>
      </c>
      <c r="I31" s="328">
        <v>0.17575196424</v>
      </c>
      <c r="J31" s="328">
        <v>0.11592804959</v>
      </c>
      <c r="K31" s="328">
        <v>0.2840704758</v>
      </c>
      <c r="L31" s="328">
        <v>3.2145963749999999E-2</v>
      </c>
      <c r="M31" s="328">
        <v>6.1877557710000003E-2</v>
      </c>
      <c r="N31" s="328">
        <v>0.43775495278999998</v>
      </c>
      <c r="O31" s="328">
        <v>4.9137410579000003</v>
      </c>
      <c r="P31" s="328">
        <v>0.58493857677999994</v>
      </c>
      <c r="Q31" s="328">
        <v>0.57092915932999999</v>
      </c>
      <c r="R31" s="328">
        <v>8.8256862470000003E-2</v>
      </c>
      <c r="S31" s="328">
        <v>7.4920077950000011E-2</v>
      </c>
      <c r="T31" s="328">
        <v>12.118532274900002</v>
      </c>
      <c r="U31" s="328">
        <v>1.3837996026299999</v>
      </c>
      <c r="V31" s="88">
        <v>17</v>
      </c>
      <c r="W31" s="117"/>
      <c r="X31" s="118"/>
      <c r="Y31" s="120"/>
      <c r="Z31" s="118"/>
      <c r="AA31" s="118"/>
      <c r="AB31" s="118"/>
      <c r="AC31" s="118"/>
      <c r="AD31" s="118"/>
      <c r="AE31" s="119"/>
      <c r="AF31" s="119"/>
      <c r="AG31" s="177"/>
    </row>
    <row r="32" spans="2:33" ht="19" customHeight="1" x14ac:dyDescent="0.15">
      <c r="B32" s="2"/>
      <c r="C32" s="196" t="s">
        <v>127</v>
      </c>
      <c r="D32" s="280">
        <v>6478</v>
      </c>
      <c r="E32" s="283">
        <v>0.20915065423000001</v>
      </c>
      <c r="F32" s="283">
        <v>1.7501457409999997E-2</v>
      </c>
      <c r="G32" s="283">
        <v>4.1109841590000001E-2</v>
      </c>
      <c r="H32" s="328">
        <v>9.4142711400000013E-3</v>
      </c>
      <c r="I32" s="328">
        <v>8.723006279999999E-3</v>
      </c>
      <c r="J32" s="328">
        <v>3.01245658E-3</v>
      </c>
      <c r="K32" s="328">
        <v>6.5135582300000008E-3</v>
      </c>
      <c r="L32" s="328">
        <v>1.6772525E-4</v>
      </c>
      <c r="M32" s="328">
        <v>1.21836064E-3</v>
      </c>
      <c r="N32" s="328">
        <v>2.2360799269999999E-2</v>
      </c>
      <c r="O32" s="328">
        <v>0.15855700238000001</v>
      </c>
      <c r="P32" s="328">
        <v>5.7661345899999994E-3</v>
      </c>
      <c r="Q32" s="328">
        <v>6.9237943000000001E-3</v>
      </c>
      <c r="R32" s="328">
        <v>1.2379196399999999E-3</v>
      </c>
      <c r="S32" s="328">
        <v>2.40881477E-3</v>
      </c>
      <c r="T32" s="328">
        <v>0.25584431113</v>
      </c>
      <c r="U32" s="328">
        <v>2.9118275620000002E-2</v>
      </c>
      <c r="V32" s="88">
        <v>18</v>
      </c>
      <c r="W32" s="117"/>
      <c r="X32" s="118"/>
      <c r="Y32" s="120"/>
      <c r="Z32" s="118"/>
      <c r="AA32" s="118"/>
      <c r="AB32" s="118"/>
      <c r="AC32" s="118"/>
      <c r="AD32" s="118"/>
      <c r="AE32" s="119"/>
      <c r="AF32" s="119"/>
      <c r="AG32" s="177"/>
    </row>
    <row r="33" spans="2:33" ht="19" customHeight="1" x14ac:dyDescent="0.15">
      <c r="B33" s="2"/>
      <c r="C33" s="196" t="s">
        <v>126</v>
      </c>
      <c r="D33" s="280">
        <v>1097</v>
      </c>
      <c r="E33" s="283">
        <v>3.7195600359999997E-2</v>
      </c>
      <c r="F33" s="283">
        <v>3.8370949399999998E-3</v>
      </c>
      <c r="G33" s="283">
        <v>9.7313858000000007E-3</v>
      </c>
      <c r="H33" s="328">
        <v>1.6300406700000001E-3</v>
      </c>
      <c r="I33" s="328">
        <v>1.1700838799999999E-3</v>
      </c>
      <c r="J33" s="328">
        <v>4.3601991999999996E-4</v>
      </c>
      <c r="K33" s="328">
        <v>2.3273979399999999E-3</v>
      </c>
      <c r="L33" s="328">
        <v>4.7195762999999998E-4</v>
      </c>
      <c r="M33" s="328">
        <v>2.2936417999999998E-4</v>
      </c>
      <c r="N33" s="328">
        <v>3.9655735600000004E-3</v>
      </c>
      <c r="O33" s="328">
        <v>2.8074179069999997E-2</v>
      </c>
      <c r="P33" s="328">
        <v>1.3456174300000001E-3</v>
      </c>
      <c r="Q33" s="328">
        <v>1.5237051400000001E-3</v>
      </c>
      <c r="R33" s="328">
        <v>2.5056945999999997E-4</v>
      </c>
      <c r="S33" s="328">
        <v>4.3728190000000007E-4</v>
      </c>
      <c r="T33" s="328">
        <v>5.7986490599999996E-2</v>
      </c>
      <c r="U33" s="328">
        <v>5.3758334200000001E-3</v>
      </c>
      <c r="V33" s="88">
        <v>19</v>
      </c>
      <c r="W33" s="117"/>
      <c r="X33" s="118"/>
      <c r="Y33" s="120"/>
      <c r="Z33" s="118"/>
      <c r="AA33" s="118"/>
      <c r="AB33" s="118"/>
      <c r="AC33" s="118"/>
      <c r="AD33" s="118"/>
      <c r="AE33" s="119"/>
      <c r="AF33" s="119"/>
      <c r="AG33" s="177"/>
    </row>
    <row r="34" spans="2:33" ht="19" customHeight="1" x14ac:dyDescent="0.15">
      <c r="B34" s="2"/>
      <c r="C34" s="196" t="s">
        <v>125</v>
      </c>
      <c r="D34" s="280">
        <v>1623</v>
      </c>
      <c r="E34" s="283">
        <v>5.1013203369999996E-2</v>
      </c>
      <c r="F34" s="283">
        <v>7.4056324099999998E-3</v>
      </c>
      <c r="G34" s="283">
        <v>1.3326793789999999E-2</v>
      </c>
      <c r="H34" s="328">
        <v>1.6781135000000001E-3</v>
      </c>
      <c r="I34" s="328">
        <v>1.52296632E-3</v>
      </c>
      <c r="J34" s="328">
        <v>5.5182132E-4</v>
      </c>
      <c r="K34" s="328">
        <v>1.6506032099999999E-3</v>
      </c>
      <c r="L34" s="328">
        <v>2.2588363E-4</v>
      </c>
      <c r="M34" s="328">
        <v>2.2646951999999999E-4</v>
      </c>
      <c r="N34" s="328">
        <v>5.9734577199999995E-3</v>
      </c>
      <c r="O34" s="328">
        <v>3.9221022719999998E-2</v>
      </c>
      <c r="P34" s="328">
        <v>1.6267867499999999E-3</v>
      </c>
      <c r="Q34" s="328">
        <v>1.88761256E-3</v>
      </c>
      <c r="R34" s="328">
        <v>3.6147373999999998E-4</v>
      </c>
      <c r="S34" s="328">
        <v>6.2476623000000007E-4</v>
      </c>
      <c r="T34" s="328">
        <v>7.7706518239999994E-2</v>
      </c>
      <c r="U34" s="328">
        <v>5.8184638799999994E-3</v>
      </c>
      <c r="V34" s="88">
        <v>20</v>
      </c>
      <c r="W34" s="117"/>
      <c r="X34" s="118"/>
      <c r="Y34" s="120"/>
      <c r="Z34" s="118"/>
      <c r="AA34" s="118"/>
      <c r="AB34" s="118"/>
      <c r="AC34" s="118"/>
      <c r="AD34" s="118"/>
      <c r="AE34" s="119"/>
      <c r="AF34" s="119"/>
      <c r="AG34" s="177"/>
    </row>
    <row r="35" spans="2:33" ht="19" customHeight="1" x14ac:dyDescent="0.15">
      <c r="B35" s="2"/>
      <c r="C35" s="196" t="s">
        <v>124</v>
      </c>
      <c r="D35" s="280">
        <v>599255</v>
      </c>
      <c r="E35" s="283">
        <v>37.969166490269998</v>
      </c>
      <c r="F35" s="283">
        <v>2.9120059113700005</v>
      </c>
      <c r="G35" s="283">
        <v>3.8765218952599998</v>
      </c>
      <c r="H35" s="328">
        <v>3.0882379310600001</v>
      </c>
      <c r="I35" s="328">
        <v>2.0189023484400002</v>
      </c>
      <c r="J35" s="328">
        <v>1.4663370468199999</v>
      </c>
      <c r="K35" s="328">
        <v>2.3252940718000001</v>
      </c>
      <c r="L35" s="328">
        <v>6.6498914859999994E-2</v>
      </c>
      <c r="M35" s="328">
        <v>1.2909299661999998</v>
      </c>
      <c r="N35" s="328">
        <v>1.5193292554399989</v>
      </c>
      <c r="O35" s="328">
        <v>26.419398715100002</v>
      </c>
      <c r="P35" s="328">
        <v>2.6421874346899998</v>
      </c>
      <c r="Q35" s="328">
        <v>3.2883619125800001</v>
      </c>
      <c r="R35" s="328">
        <v>0.13720159792000003</v>
      </c>
      <c r="S35" s="328">
        <v>0.78385434390999997</v>
      </c>
      <c r="T35" s="328">
        <v>38.711966499580001</v>
      </c>
      <c r="U35" s="328">
        <v>6.5159219416100003</v>
      </c>
      <c r="V35" s="88">
        <v>21</v>
      </c>
      <c r="W35" s="117"/>
      <c r="X35" s="118"/>
      <c r="Y35" s="120"/>
      <c r="Z35" s="118"/>
      <c r="AA35" s="118"/>
      <c r="AB35" s="118"/>
      <c r="AC35" s="118"/>
      <c r="AD35" s="118"/>
      <c r="AE35" s="119"/>
      <c r="AF35" s="119"/>
      <c r="AG35" s="177"/>
    </row>
    <row r="36" spans="2:33" ht="19" customHeight="1" x14ac:dyDescent="0.15">
      <c r="B36" s="2"/>
      <c r="C36" s="196" t="s">
        <v>123</v>
      </c>
      <c r="D36" s="280">
        <v>2615244</v>
      </c>
      <c r="E36" s="283">
        <v>127.48904584768999</v>
      </c>
      <c r="F36" s="283">
        <v>21.504255129970002</v>
      </c>
      <c r="G36" s="448">
        <v>70.310345546259995</v>
      </c>
      <c r="H36" s="328">
        <v>4.3291041655299995</v>
      </c>
      <c r="I36" s="328">
        <v>1.43609120328</v>
      </c>
      <c r="J36" s="328">
        <v>0.59534892927999994</v>
      </c>
      <c r="K36" s="328">
        <v>7.4642459645699999</v>
      </c>
      <c r="L36" s="328">
        <v>0.15528678028999998</v>
      </c>
      <c r="M36" s="328">
        <v>1.6677947360599998</v>
      </c>
      <c r="N36" s="328">
        <v>11.687170861370005</v>
      </c>
      <c r="O36" s="328">
        <v>101.22818440755999</v>
      </c>
      <c r="P36" s="328">
        <v>12.395409719370001</v>
      </c>
      <c r="Q36" s="328">
        <v>12.16565030716</v>
      </c>
      <c r="R36" s="328">
        <v>1.9093996359699998</v>
      </c>
      <c r="S36" s="328">
        <v>1.77361064478</v>
      </c>
      <c r="T36" s="328">
        <v>625.98118062979995</v>
      </c>
      <c r="U36" s="328">
        <v>25.78634631277</v>
      </c>
      <c r="V36" s="88">
        <v>22</v>
      </c>
      <c r="W36" s="117"/>
      <c r="X36" s="118"/>
      <c r="Y36" s="120"/>
      <c r="Z36" s="118"/>
      <c r="AA36" s="118"/>
      <c r="AB36" s="118"/>
      <c r="AC36" s="118"/>
      <c r="AD36" s="118"/>
      <c r="AE36" s="119"/>
      <c r="AF36" s="119"/>
      <c r="AG36" s="177"/>
    </row>
    <row r="37" spans="2:33" ht="19" customHeight="1" x14ac:dyDescent="0.15">
      <c r="B37" s="2"/>
      <c r="C37" s="196" t="s">
        <v>122</v>
      </c>
      <c r="D37" s="280">
        <v>235815</v>
      </c>
      <c r="E37" s="283">
        <v>6.9412840664799997</v>
      </c>
      <c r="F37" s="283">
        <v>1.8994713762700002</v>
      </c>
      <c r="G37" s="283">
        <v>13.952380545579999</v>
      </c>
      <c r="H37" s="328">
        <v>0.42864336389999996</v>
      </c>
      <c r="I37" s="328">
        <v>0.14231480531999999</v>
      </c>
      <c r="J37" s="328">
        <v>4.418799726E-2</v>
      </c>
      <c r="K37" s="328">
        <v>0.62670029440999997</v>
      </c>
      <c r="L37" s="328">
        <v>2.2912793329999997E-2</v>
      </c>
      <c r="M37" s="328">
        <v>0.17435958901000001</v>
      </c>
      <c r="N37" s="328">
        <v>0.71514338344000028</v>
      </c>
      <c r="O37" s="328">
        <v>5.3317913493900004</v>
      </c>
      <c r="P37" s="328">
        <v>0.49753509047</v>
      </c>
      <c r="Q37" s="328">
        <v>0.53564091434000005</v>
      </c>
      <c r="R37" s="328">
        <v>8.1764368219999994E-2</v>
      </c>
      <c r="S37" s="328">
        <v>0.12606215386</v>
      </c>
      <c r="T37" s="328">
        <v>61.184369808279996</v>
      </c>
      <c r="U37" s="328">
        <v>2.8682954439299997</v>
      </c>
      <c r="V37" s="88">
        <v>23</v>
      </c>
      <c r="W37" s="117"/>
      <c r="X37" s="118"/>
      <c r="Y37" s="120"/>
      <c r="Z37" s="118"/>
      <c r="AA37" s="118"/>
      <c r="AB37" s="118"/>
      <c r="AC37" s="118"/>
      <c r="AD37" s="118"/>
      <c r="AE37" s="119"/>
      <c r="AF37" s="119"/>
      <c r="AG37" s="177"/>
    </row>
    <row r="38" spans="2:33" ht="19" customHeight="1" x14ac:dyDescent="0.15">
      <c r="B38" s="2"/>
      <c r="C38" s="196" t="s">
        <v>121</v>
      </c>
      <c r="D38" s="280">
        <v>9617</v>
      </c>
      <c r="E38" s="283">
        <v>0.26081362664999996</v>
      </c>
      <c r="F38" s="283">
        <v>4.6941959179999999E-2</v>
      </c>
      <c r="G38" s="283">
        <v>0.29120376212999999</v>
      </c>
      <c r="H38" s="328">
        <v>4.1353793600000001E-3</v>
      </c>
      <c r="I38" s="328">
        <v>2.3546132400000001E-3</v>
      </c>
      <c r="J38" s="328">
        <v>6.3633218000000002E-4</v>
      </c>
      <c r="K38" s="328">
        <v>1.2746480019999999E-2</v>
      </c>
      <c r="L38" s="328">
        <v>1.3324773999999999E-4</v>
      </c>
      <c r="M38" s="328">
        <v>1.45296675E-3</v>
      </c>
      <c r="N38" s="328">
        <v>3.4868152950000009E-2</v>
      </c>
      <c r="O38" s="328">
        <v>0.20766407294</v>
      </c>
      <c r="P38" s="328">
        <v>1.3070432119999999E-2</v>
      </c>
      <c r="Q38" s="328">
        <v>1.411090965E-2</v>
      </c>
      <c r="R38" s="328">
        <v>2.9080325400000001E-3</v>
      </c>
      <c r="S38" s="328">
        <v>4.0374618100000002E-3</v>
      </c>
      <c r="T38" s="328">
        <v>1.0225701960600002</v>
      </c>
      <c r="U38" s="328">
        <v>2.874726239E-2</v>
      </c>
      <c r="V38" s="88">
        <v>24</v>
      </c>
      <c r="W38" s="117"/>
      <c r="X38" s="118"/>
      <c r="Y38" s="120"/>
      <c r="Z38" s="118"/>
      <c r="AA38" s="118"/>
      <c r="AB38" s="118"/>
      <c r="AC38" s="118"/>
      <c r="AD38" s="118"/>
      <c r="AE38" s="119"/>
      <c r="AF38" s="119"/>
      <c r="AG38" s="177"/>
    </row>
    <row r="39" spans="2:33" ht="19" customHeight="1" x14ac:dyDescent="0.15">
      <c r="B39" s="2"/>
      <c r="C39" s="196" t="s">
        <v>120</v>
      </c>
      <c r="D39" s="280">
        <v>97379</v>
      </c>
      <c r="E39" s="283">
        <v>3.66608637631</v>
      </c>
      <c r="F39" s="283">
        <v>0.42367279992000001</v>
      </c>
      <c r="G39" s="283">
        <v>1.3156967878099999</v>
      </c>
      <c r="H39" s="328">
        <v>4.2098565129999994E-2</v>
      </c>
      <c r="I39" s="328">
        <v>2.5558181399999998E-2</v>
      </c>
      <c r="J39" s="328">
        <v>2.7760554739999999E-2</v>
      </c>
      <c r="K39" s="328">
        <v>0.12873638179999999</v>
      </c>
      <c r="L39" s="328">
        <v>7.9725089599999993E-3</v>
      </c>
      <c r="M39" s="328">
        <v>6.5657824100000001E-3</v>
      </c>
      <c r="N39" s="328">
        <v>0.50698759054999998</v>
      </c>
      <c r="O39" s="328">
        <v>2.9451906247700004</v>
      </c>
      <c r="P39" s="328">
        <v>0.23265576144000003</v>
      </c>
      <c r="Q39" s="328">
        <v>0.17898372824</v>
      </c>
      <c r="R39" s="328">
        <v>6.4522894420000004E-2</v>
      </c>
      <c r="S39" s="328">
        <v>4.4888160750000003E-2</v>
      </c>
      <c r="T39" s="328">
        <v>10.48161050941</v>
      </c>
      <c r="U39" s="328">
        <v>0.73315190100999994</v>
      </c>
      <c r="V39" s="88">
        <v>25</v>
      </c>
      <c r="W39" s="117"/>
      <c r="X39" s="118"/>
      <c r="Y39" s="120"/>
      <c r="Z39" s="118"/>
      <c r="AA39" s="118"/>
      <c r="AB39" s="118"/>
      <c r="AC39" s="118"/>
      <c r="AD39" s="118"/>
      <c r="AE39" s="119"/>
      <c r="AF39" s="119"/>
      <c r="AG39" s="177"/>
    </row>
    <row r="40" spans="2:33" ht="19" customHeight="1" x14ac:dyDescent="0.15">
      <c r="B40" s="2"/>
      <c r="C40" s="196" t="s">
        <v>119</v>
      </c>
      <c r="D40" s="280">
        <v>27401</v>
      </c>
      <c r="E40" s="283">
        <v>1.03949911634</v>
      </c>
      <c r="F40" s="283">
        <v>0.10647396567</v>
      </c>
      <c r="G40" s="283">
        <v>0.74915143649000004</v>
      </c>
      <c r="H40" s="328">
        <v>3.8736522570000001E-2</v>
      </c>
      <c r="I40" s="328">
        <v>8.5042604399999996E-3</v>
      </c>
      <c r="J40" s="328">
        <v>6.7641534200000002E-3</v>
      </c>
      <c r="K40" s="328">
        <v>2.54303099E-2</v>
      </c>
      <c r="L40" s="328">
        <v>8.8063798699999987E-3</v>
      </c>
      <c r="M40" s="328">
        <v>1.4970397600000001E-3</v>
      </c>
      <c r="N40" s="328">
        <v>0.10945690279999999</v>
      </c>
      <c r="O40" s="328">
        <v>0.84582920435999998</v>
      </c>
      <c r="P40" s="328">
        <v>0.10222542667000001</v>
      </c>
      <c r="Q40" s="328">
        <v>0.10711451298000001</v>
      </c>
      <c r="R40" s="328">
        <v>1.211453656E-2</v>
      </c>
      <c r="S40" s="328">
        <v>1.7726691070000002E-2</v>
      </c>
      <c r="T40" s="328">
        <v>3.3575479026800004</v>
      </c>
      <c r="U40" s="328">
        <v>0.41926232221000004</v>
      </c>
      <c r="V40" s="88">
        <v>26</v>
      </c>
      <c r="W40" s="117"/>
      <c r="X40" s="118"/>
      <c r="Y40" s="120"/>
      <c r="Z40" s="118"/>
      <c r="AA40" s="118"/>
      <c r="AB40" s="118"/>
      <c r="AC40" s="118"/>
      <c r="AD40" s="118"/>
      <c r="AE40" s="119"/>
      <c r="AF40" s="119"/>
      <c r="AG40" s="177"/>
    </row>
    <row r="41" spans="2:33" ht="19" customHeight="1" x14ac:dyDescent="0.15">
      <c r="B41" s="2"/>
      <c r="C41" s="196" t="s">
        <v>118</v>
      </c>
      <c r="D41" s="280">
        <v>24</v>
      </c>
      <c r="E41" s="283">
        <v>6.1270582000000004E-4</v>
      </c>
      <c r="F41" s="283">
        <v>5.3856290000000001E-5</v>
      </c>
      <c r="G41" s="283">
        <v>1.1426821E-4</v>
      </c>
      <c r="H41" s="328">
        <v>2.093676E-5</v>
      </c>
      <c r="I41" s="328">
        <v>1.857276E-5</v>
      </c>
      <c r="J41" s="328">
        <v>2.0689009999999999E-5</v>
      </c>
      <c r="K41" s="328">
        <v>1.034028E-5</v>
      </c>
      <c r="L41" s="328">
        <v>0</v>
      </c>
      <c r="M41" s="328">
        <v>1.2204E-5</v>
      </c>
      <c r="N41" s="328">
        <v>6.7093330000000012E-5</v>
      </c>
      <c r="O41" s="328">
        <v>4.6286967999999997E-4</v>
      </c>
      <c r="P41" s="328">
        <v>1.1287710000000001E-5</v>
      </c>
      <c r="Q41" s="328">
        <v>1.2455399999999999E-5</v>
      </c>
      <c r="R41" s="328">
        <v>1.5314100000000001E-6</v>
      </c>
      <c r="S41" s="328">
        <v>2.6991000000000001E-6</v>
      </c>
      <c r="T41" s="328">
        <v>1.12090075E-3</v>
      </c>
      <c r="U41" s="328">
        <v>4.2993980000000001E-5</v>
      </c>
      <c r="V41" s="88">
        <v>27</v>
      </c>
      <c r="W41" s="117"/>
      <c r="X41" s="118"/>
      <c r="Y41" s="120"/>
      <c r="Z41" s="118"/>
      <c r="AA41" s="118"/>
      <c r="AB41" s="118"/>
      <c r="AC41" s="118"/>
      <c r="AD41" s="118"/>
      <c r="AE41" s="119"/>
      <c r="AF41" s="119"/>
      <c r="AG41" s="177"/>
    </row>
    <row r="42" spans="2:33" ht="19" customHeight="1" x14ac:dyDescent="0.15">
      <c r="B42" s="2"/>
      <c r="C42" s="196" t="s">
        <v>117</v>
      </c>
      <c r="D42" s="280">
        <v>76900</v>
      </c>
      <c r="E42" s="283">
        <v>0.99972702753000009</v>
      </c>
      <c r="F42" s="283">
        <v>0.80973358737000001</v>
      </c>
      <c r="G42" s="283">
        <v>2.3555551778799999</v>
      </c>
      <c r="H42" s="328">
        <v>2.1656966799999998E-3</v>
      </c>
      <c r="I42" s="328">
        <v>3.5412062400000002E-3</v>
      </c>
      <c r="J42" s="328">
        <v>6.504417E-4</v>
      </c>
      <c r="K42" s="328">
        <v>9.4319755500000008E-3</v>
      </c>
      <c r="L42" s="328">
        <v>5.3718121799999994E-3</v>
      </c>
      <c r="M42" s="328">
        <v>1.3846400699999999E-3</v>
      </c>
      <c r="N42" s="328">
        <v>9.7486285800000003E-2</v>
      </c>
      <c r="O42" s="328">
        <v>0.88162744088000011</v>
      </c>
      <c r="P42" s="328">
        <v>0.14398116442</v>
      </c>
      <c r="Q42" s="328">
        <v>8.5706311000000007E-2</v>
      </c>
      <c r="R42" s="328">
        <v>4.4509678849999998E-2</v>
      </c>
      <c r="S42" s="328">
        <v>8.8552344599999999E-3</v>
      </c>
      <c r="T42" s="328">
        <v>42.208971442299998</v>
      </c>
      <c r="U42" s="328">
        <v>1.12121148143</v>
      </c>
      <c r="V42" s="88">
        <v>28</v>
      </c>
      <c r="W42" s="117"/>
      <c r="X42" s="118"/>
      <c r="Y42" s="120"/>
      <c r="Z42" s="118"/>
      <c r="AA42" s="118"/>
      <c r="AB42" s="118"/>
      <c r="AC42" s="118"/>
      <c r="AD42" s="118"/>
      <c r="AE42" s="119"/>
      <c r="AF42" s="119"/>
      <c r="AG42" s="177"/>
    </row>
    <row r="43" spans="2:33" ht="19" customHeight="1" x14ac:dyDescent="0.15">
      <c r="B43" s="2"/>
      <c r="C43" s="196" t="s">
        <v>116</v>
      </c>
      <c r="D43" s="280">
        <v>799490</v>
      </c>
      <c r="E43" s="283">
        <v>31.64773912703</v>
      </c>
      <c r="F43" s="283">
        <v>5.1299517217300004</v>
      </c>
      <c r="G43" s="283">
        <v>20.270767040860001</v>
      </c>
      <c r="H43" s="328">
        <v>1.0517720344500001</v>
      </c>
      <c r="I43" s="328">
        <v>0.56436839447999998</v>
      </c>
      <c r="J43" s="328">
        <v>0.28378644174000001</v>
      </c>
      <c r="K43" s="328">
        <v>1.0251783400200001</v>
      </c>
      <c r="L43" s="328">
        <v>1.4892830191800002</v>
      </c>
      <c r="M43" s="328">
        <v>0.17765327795000002</v>
      </c>
      <c r="N43" s="328">
        <v>2.993283568099999</v>
      </c>
      <c r="O43" s="328">
        <v>24.293060081699998</v>
      </c>
      <c r="P43" s="328">
        <v>2.5392465743699999</v>
      </c>
      <c r="Q43" s="328">
        <v>2.2764383746000001</v>
      </c>
      <c r="R43" s="328">
        <v>0.52625461058</v>
      </c>
      <c r="S43" s="328">
        <v>0.33788980285000003</v>
      </c>
      <c r="T43" s="328">
        <v>186.80653922838999</v>
      </c>
      <c r="U43" s="328">
        <v>15.854275381930002</v>
      </c>
      <c r="V43" s="88">
        <v>29</v>
      </c>
      <c r="W43" s="117"/>
      <c r="X43" s="118"/>
      <c r="Y43" s="120"/>
      <c r="Z43" s="118"/>
      <c r="AA43" s="118"/>
      <c r="AB43" s="118"/>
      <c r="AC43" s="118"/>
      <c r="AD43" s="118"/>
      <c r="AE43" s="119"/>
      <c r="AF43" s="119"/>
      <c r="AG43" s="177"/>
    </row>
    <row r="44" spans="2:33" ht="19" customHeight="1" thickBot="1" x14ac:dyDescent="0.2">
      <c r="B44" s="2"/>
      <c r="C44" s="198" t="s">
        <v>115</v>
      </c>
      <c r="D44" s="281">
        <v>64092</v>
      </c>
      <c r="E44" s="284">
        <v>1.1296685283000001</v>
      </c>
      <c r="F44" s="284">
        <v>3.0020980589999999E-2</v>
      </c>
      <c r="G44" s="284">
        <v>0.54634971475000005</v>
      </c>
      <c r="H44" s="330">
        <v>7.6702186499999995E-3</v>
      </c>
      <c r="I44" s="330">
        <v>1.9658234640000001E-2</v>
      </c>
      <c r="J44" s="330">
        <v>5.0943194800000006E-3</v>
      </c>
      <c r="K44" s="330">
        <v>1.092116795E-2</v>
      </c>
      <c r="L44" s="330">
        <v>1.731425449E-2</v>
      </c>
      <c r="M44" s="330">
        <v>2.6140621200000003E-3</v>
      </c>
      <c r="N44" s="330">
        <v>0.17141573884</v>
      </c>
      <c r="O44" s="330">
        <v>0.90134493972999996</v>
      </c>
      <c r="P44" s="330">
        <v>9.3603077299999997E-3</v>
      </c>
      <c r="Q44" s="330">
        <v>7.5119501400000002E-3</v>
      </c>
      <c r="R44" s="330">
        <v>4.4107067000000002E-3</v>
      </c>
      <c r="S44" s="330">
        <v>2.8639472400000003E-3</v>
      </c>
      <c r="T44" s="330">
        <v>2.3197358815400002</v>
      </c>
      <c r="U44" s="330">
        <v>0.28082709992999999</v>
      </c>
      <c r="V44" s="88">
        <v>30</v>
      </c>
      <c r="W44" s="117"/>
      <c r="X44" s="118"/>
      <c r="Y44" s="120"/>
      <c r="Z44" s="118"/>
      <c r="AA44" s="118"/>
      <c r="AB44" s="118"/>
      <c r="AC44" s="118"/>
      <c r="AD44" s="118"/>
      <c r="AE44" s="119"/>
      <c r="AF44" s="119"/>
      <c r="AG44" s="177"/>
    </row>
    <row r="45" spans="2:33" ht="23" customHeight="1" thickBot="1" x14ac:dyDescent="0.2">
      <c r="B45" s="2"/>
      <c r="C45" s="54" t="s">
        <v>403</v>
      </c>
      <c r="D45" s="65">
        <v>26494416</v>
      </c>
      <c r="E45" s="186">
        <v>1293.2053016929203</v>
      </c>
      <c r="F45" s="186">
        <v>207.36144886296009</v>
      </c>
      <c r="G45" s="186">
        <v>632.17126170038023</v>
      </c>
      <c r="H45" s="186">
        <v>62.362978285419999</v>
      </c>
      <c r="I45" s="186">
        <v>30.38513028744001</v>
      </c>
      <c r="J45" s="186">
        <v>18.944704693859997</v>
      </c>
      <c r="K45" s="186">
        <v>51.019698709410008</v>
      </c>
      <c r="L45" s="186">
        <v>17.09040650623</v>
      </c>
      <c r="M45" s="186">
        <v>12.94390591106</v>
      </c>
      <c r="N45" s="186">
        <v>102.38576893313997</v>
      </c>
      <c r="O45" s="186">
        <v>1004.51195465031</v>
      </c>
      <c r="P45" s="186">
        <v>114.23238902445001</v>
      </c>
      <c r="Q45" s="186">
        <v>114.80238511961004</v>
      </c>
      <c r="R45" s="186">
        <v>14.563077486760001</v>
      </c>
      <c r="S45" s="186">
        <v>16.503528498660003</v>
      </c>
      <c r="T45" s="186">
        <v>5825.4776990356586</v>
      </c>
      <c r="U45" s="186">
        <v>508.89844947743995</v>
      </c>
      <c r="V45" s="22"/>
    </row>
    <row r="46" spans="2:33" ht="18" customHeight="1" thickBot="1" x14ac:dyDescent="0.2">
      <c r="B46" s="28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85"/>
      <c r="Q46" s="185"/>
      <c r="R46" s="185"/>
      <c r="S46" s="13"/>
      <c r="T46" s="13"/>
      <c r="U46" s="13"/>
      <c r="V46" s="27"/>
    </row>
    <row r="47" spans="2:33" ht="1" customHeight="1" x14ac:dyDescent="0.15"/>
    <row r="48" spans="2:33" x14ac:dyDescent="0.15">
      <c r="J48" s="41" t="s">
        <v>538</v>
      </c>
      <c r="K48" s="422" t="s">
        <v>529</v>
      </c>
      <c r="L48" s="424" t="s">
        <v>530</v>
      </c>
      <c r="M48" s="426" t="s">
        <v>531</v>
      </c>
      <c r="N48" s="430" t="s">
        <v>532</v>
      </c>
      <c r="O48" s="428" t="s">
        <v>533</v>
      </c>
      <c r="P48" s="432" t="s">
        <v>534</v>
      </c>
      <c r="Q48" s="434" t="s">
        <v>535</v>
      </c>
      <c r="R48" s="436" t="s">
        <v>536</v>
      </c>
      <c r="S48" s="438" t="s">
        <v>537</v>
      </c>
    </row>
    <row r="49" spans="2:19" x14ac:dyDescent="0.15">
      <c r="D49" s="1" t="s">
        <v>528</v>
      </c>
      <c r="E49" s="1" t="s">
        <v>539</v>
      </c>
      <c r="F49" s="1" t="s">
        <v>540</v>
      </c>
      <c r="G49" s="1" t="s">
        <v>541</v>
      </c>
      <c r="H49" s="1" t="s">
        <v>542</v>
      </c>
      <c r="I49" s="1" t="s">
        <v>543</v>
      </c>
      <c r="J49" s="1">
        <v>2013</v>
      </c>
      <c r="K49" s="423">
        <v>7118.3936999999996</v>
      </c>
      <c r="L49" s="425">
        <v>27981.66</v>
      </c>
      <c r="M49" s="427">
        <v>43020.105000000003</v>
      </c>
      <c r="N49" s="431">
        <v>77296.456000000006</v>
      </c>
      <c r="O49" s="429">
        <v>241932.14</v>
      </c>
      <c r="P49" s="433">
        <v>358683.78</v>
      </c>
      <c r="Q49" s="435">
        <v>920850.79</v>
      </c>
      <c r="R49" s="437">
        <v>1454392.1</v>
      </c>
      <c r="S49" s="439">
        <v>4313183.2</v>
      </c>
    </row>
    <row r="50" spans="2:19" x14ac:dyDescent="0.15">
      <c r="B50" s="1" t="s">
        <v>544</v>
      </c>
    </row>
    <row r="51" spans="2:19" x14ac:dyDescent="0.15">
      <c r="C51" s="1" t="s">
        <v>113</v>
      </c>
      <c r="D51" s="78">
        <f t="shared" ref="D51:D81" si="0">D14</f>
        <v>3724257</v>
      </c>
      <c r="E51" s="78">
        <f t="shared" ref="E51:E81" si="1">((E14+F14+G14-L14)/D14)*1000000000</f>
        <v>36221.142843079841</v>
      </c>
      <c r="F51" s="177">
        <f>(G14/(E14+F14+G14))</f>
        <v>0.16350939336609482</v>
      </c>
      <c r="G51" s="177">
        <f>F14/(E14+F14+G14)</f>
        <v>6.8837061837134145E-2</v>
      </c>
      <c r="H51" s="177">
        <f>G14/$G$45</f>
        <v>3.5053053649807618E-2</v>
      </c>
      <c r="I51" s="177">
        <f>F14/$F$45</f>
        <v>4.4989607655063081E-2</v>
      </c>
    </row>
    <row r="52" spans="2:19" x14ac:dyDescent="0.15">
      <c r="C52" s="441" t="s">
        <v>114</v>
      </c>
      <c r="D52" s="427">
        <f t="shared" si="0"/>
        <v>756</v>
      </c>
      <c r="E52" s="427">
        <f t="shared" si="1"/>
        <v>60361.28964285714</v>
      </c>
      <c r="F52" s="177">
        <f t="shared" ref="F52:F81" si="2">(G15/(E15+F15+G15))</f>
        <v>0.33215028153379245</v>
      </c>
      <c r="G52" s="177">
        <f t="shared" ref="G52:G81" si="3">F15/(E15+F15+G15)</f>
        <v>7.4786254297632276E-2</v>
      </c>
      <c r="H52" s="177">
        <f t="shared" ref="H52:H81" si="4">G15/$G$45</f>
        <v>2.4150302054122648E-5</v>
      </c>
      <c r="I52" s="177">
        <f t="shared" ref="I52:I81" si="5">F15/$F$45</f>
        <v>1.6577401435267583E-5</v>
      </c>
    </row>
    <row r="53" spans="2:19" x14ac:dyDescent="0.15">
      <c r="C53" s="441" t="s">
        <v>143</v>
      </c>
      <c r="D53" s="427">
        <f t="shared" si="0"/>
        <v>5815667</v>
      </c>
      <c r="E53" s="427">
        <f t="shared" si="1"/>
        <v>77058.323106233554</v>
      </c>
      <c r="F53" s="460">
        <f t="shared" si="2"/>
        <v>0.15811802322124888</v>
      </c>
      <c r="G53" s="459">
        <f t="shared" si="3"/>
        <v>0.10538970471421497</v>
      </c>
      <c r="H53" s="177">
        <f t="shared" si="4"/>
        <v>0.11224145390286622</v>
      </c>
      <c r="I53" s="451">
        <f>F16/$F$45</f>
        <v>0.22807454939888713</v>
      </c>
    </row>
    <row r="54" spans="2:19" x14ac:dyDescent="0.15">
      <c r="C54" s="441" t="s">
        <v>142</v>
      </c>
      <c r="D54" s="427">
        <f t="shared" si="0"/>
        <v>15106</v>
      </c>
      <c r="E54" s="427">
        <f t="shared" si="1"/>
        <v>42307.674121541124</v>
      </c>
      <c r="F54" s="177">
        <f t="shared" si="2"/>
        <v>0.18393295293389497</v>
      </c>
      <c r="G54" s="177">
        <f t="shared" si="3"/>
        <v>9.2585609213347034E-2</v>
      </c>
      <c r="H54" s="177">
        <f t="shared" si="4"/>
        <v>1.8643051415054404E-4</v>
      </c>
      <c r="I54" s="177">
        <f t="shared" si="5"/>
        <v>2.8609329065407043E-4</v>
      </c>
    </row>
    <row r="55" spans="2:19" x14ac:dyDescent="0.15">
      <c r="C55" s="440" t="s">
        <v>141</v>
      </c>
      <c r="D55" s="431">
        <f t="shared" si="0"/>
        <v>687585</v>
      </c>
      <c r="E55" s="431">
        <f t="shared" si="1"/>
        <v>112746.29687235759</v>
      </c>
      <c r="F55" s="460">
        <f t="shared" si="2"/>
        <v>0.15354168423901451</v>
      </c>
      <c r="G55" s="457">
        <f t="shared" si="3"/>
        <v>0.17440480639910441</v>
      </c>
      <c r="H55" s="177">
        <f t="shared" si="4"/>
        <v>1.8849954314939771E-2</v>
      </c>
      <c r="I55" s="177">
        <f t="shared" si="5"/>
        <v>6.5275345861203579E-2</v>
      </c>
    </row>
    <row r="56" spans="2:19" x14ac:dyDescent="0.15">
      <c r="C56" s="440" t="s">
        <v>140</v>
      </c>
      <c r="D56" s="431">
        <f t="shared" si="0"/>
        <v>37035</v>
      </c>
      <c r="E56" s="431">
        <f t="shared" si="1"/>
        <v>79079.081092210079</v>
      </c>
      <c r="F56" s="177">
        <f t="shared" si="2"/>
        <v>0.27082265458823263</v>
      </c>
      <c r="G56" s="177">
        <f t="shared" si="3"/>
        <v>7.3091709084278353E-2</v>
      </c>
      <c r="H56" s="177">
        <f t="shared" si="4"/>
        <v>1.258626658241085E-3</v>
      </c>
      <c r="I56" s="177">
        <f t="shared" si="5"/>
        <v>1.0355874596146212E-3</v>
      </c>
    </row>
    <row r="57" spans="2:19" x14ac:dyDescent="0.15">
      <c r="C57" s="441" t="s">
        <v>139</v>
      </c>
      <c r="D57" s="427">
        <f t="shared" si="0"/>
        <v>2665503</v>
      </c>
      <c r="E57" s="427">
        <f t="shared" si="1"/>
        <v>63944.485807834397</v>
      </c>
      <c r="F57" s="177">
        <f t="shared" si="2"/>
        <v>0.34262286216359</v>
      </c>
      <c r="G57" s="177">
        <f t="shared" si="3"/>
        <v>5.9636898223457288E-2</v>
      </c>
      <c r="H57" s="177">
        <f t="shared" si="4"/>
        <v>9.7544783553600314E-2</v>
      </c>
      <c r="I57" s="177">
        <f t="shared" si="5"/>
        <v>5.1761814057556255E-2</v>
      </c>
    </row>
    <row r="58" spans="2:19" x14ac:dyDescent="0.15">
      <c r="C58" s="440" t="s">
        <v>138</v>
      </c>
      <c r="D58" s="431">
        <f t="shared" si="0"/>
        <v>4399557</v>
      </c>
      <c r="E58" s="431">
        <f t="shared" si="1"/>
        <v>106981.25026743828</v>
      </c>
      <c r="F58" s="456">
        <f t="shared" si="2"/>
        <v>0.60365272077372811</v>
      </c>
      <c r="G58" s="459">
        <f>F21/(E21+F21+G21)</f>
        <v>0.11595603370722306</v>
      </c>
      <c r="H58" s="454">
        <f t="shared" si="4"/>
        <v>0.45166216831374545</v>
      </c>
      <c r="I58" s="454">
        <f>F21/$F$45</f>
        <v>0.26450058380030483</v>
      </c>
    </row>
    <row r="59" spans="2:19" x14ac:dyDescent="0.15">
      <c r="C59" s="440" t="s">
        <v>137</v>
      </c>
      <c r="D59" s="431">
        <f t="shared" si="0"/>
        <v>124173</v>
      </c>
      <c r="E59" s="431">
        <f t="shared" si="1"/>
        <v>195317.90473685908</v>
      </c>
      <c r="F59" s="457">
        <f t="shared" si="2"/>
        <v>0.43597737454608898</v>
      </c>
      <c r="G59" s="458">
        <f t="shared" si="3"/>
        <v>0.20914042251278897</v>
      </c>
      <c r="H59" s="177">
        <f t="shared" si="4"/>
        <v>1.6743589815455276E-2</v>
      </c>
      <c r="I59" s="177">
        <f t="shared" si="5"/>
        <v>2.448664786527243E-2</v>
      </c>
    </row>
    <row r="60" spans="2:19" x14ac:dyDescent="0.15">
      <c r="C60" s="440" t="s">
        <v>136</v>
      </c>
      <c r="D60" s="431">
        <f t="shared" si="0"/>
        <v>388366</v>
      </c>
      <c r="E60" s="431">
        <f t="shared" si="1"/>
        <v>156028.62304612144</v>
      </c>
      <c r="F60" s="177">
        <f t="shared" si="2"/>
        <v>0.13663121517025212</v>
      </c>
      <c r="G60" s="177">
        <f t="shared" si="3"/>
        <v>8.2203060044380077E-2</v>
      </c>
      <c r="H60" s="177">
        <f t="shared" si="4"/>
        <v>1.3137243485731526E-2</v>
      </c>
      <c r="I60" s="177">
        <f t="shared" si="5"/>
        <v>2.4096226307340981E-2</v>
      </c>
    </row>
    <row r="61" spans="2:19" x14ac:dyDescent="0.15">
      <c r="C61" s="440" t="s">
        <v>135</v>
      </c>
      <c r="D61" s="431">
        <f t="shared" si="0"/>
        <v>435983</v>
      </c>
      <c r="E61" s="431">
        <f t="shared" si="1"/>
        <v>110513.56913524152</v>
      </c>
      <c r="F61" s="177">
        <f t="shared" si="2"/>
        <v>0.12352790383640645</v>
      </c>
      <c r="G61" s="177">
        <f t="shared" si="3"/>
        <v>7.5527529731590229E-2</v>
      </c>
      <c r="H61" s="177">
        <f t="shared" si="4"/>
        <v>9.4576633128471803E-3</v>
      </c>
      <c r="I61" s="177">
        <f t="shared" si="5"/>
        <v>1.7629126266791733E-2</v>
      </c>
    </row>
    <row r="62" spans="2:19" x14ac:dyDescent="0.15">
      <c r="C62" s="440" t="s">
        <v>134</v>
      </c>
      <c r="D62" s="431">
        <f t="shared" si="0"/>
        <v>300790</v>
      </c>
      <c r="E62" s="431">
        <f t="shared" si="1"/>
        <v>139219.55114275741</v>
      </c>
      <c r="F62" s="177">
        <f t="shared" si="2"/>
        <v>0.14398177935944664</v>
      </c>
      <c r="G62" s="177">
        <f t="shared" si="3"/>
        <v>9.988140408838328E-2</v>
      </c>
      <c r="H62" s="177">
        <f t="shared" si="4"/>
        <v>9.5484321814060871E-3</v>
      </c>
      <c r="I62" s="177">
        <f t="shared" si="5"/>
        <v>2.0193700030121522E-2</v>
      </c>
    </row>
    <row r="63" spans="2:19" x14ac:dyDescent="0.15">
      <c r="C63" s="446" t="s">
        <v>133</v>
      </c>
      <c r="D63" s="447">
        <f t="shared" si="0"/>
        <v>1150733</v>
      </c>
      <c r="E63" s="447">
        <f t="shared" si="1"/>
        <v>97081.846659311937</v>
      </c>
      <c r="F63" s="177">
        <f t="shared" si="2"/>
        <v>0.13254771926230108</v>
      </c>
      <c r="G63" s="177">
        <f t="shared" si="3"/>
        <v>7.4175925115847627E-2</v>
      </c>
      <c r="H63" s="177">
        <f t="shared" si="4"/>
        <v>2.3575672448226125E-2</v>
      </c>
      <c r="I63" s="177">
        <f t="shared" si="5"/>
        <v>4.022180272381292E-2</v>
      </c>
    </row>
    <row r="64" spans="2:19" x14ac:dyDescent="0.15">
      <c r="C64" s="446" t="s">
        <v>132</v>
      </c>
      <c r="D64" s="447">
        <f t="shared" si="0"/>
        <v>603698</v>
      </c>
      <c r="E64" s="447">
        <f t="shared" si="1"/>
        <v>84609.781330665341</v>
      </c>
      <c r="F64" s="177">
        <f t="shared" si="2"/>
        <v>0.12286735780404962</v>
      </c>
      <c r="G64" s="177">
        <f t="shared" si="3"/>
        <v>7.2276978494146354E-2</v>
      </c>
      <c r="H64" s="177">
        <f t="shared" si="4"/>
        <v>1.0007847174439493E-2</v>
      </c>
      <c r="I64" s="177">
        <f t="shared" si="5"/>
        <v>1.7947785268078269E-2</v>
      </c>
    </row>
    <row r="65" spans="3:9" x14ac:dyDescent="0.15">
      <c r="C65" s="440" t="s">
        <v>131</v>
      </c>
      <c r="D65" s="431">
        <f t="shared" si="0"/>
        <v>184876</v>
      </c>
      <c r="E65" s="431">
        <f t="shared" si="1"/>
        <v>105854.60292233714</v>
      </c>
      <c r="F65" s="177">
        <f t="shared" si="2"/>
        <v>0.15889811148207283</v>
      </c>
      <c r="G65" s="177">
        <f t="shared" si="3"/>
        <v>9.4877089616825103E-2</v>
      </c>
      <c r="H65" s="177">
        <f t="shared" si="4"/>
        <v>4.9306034860491753E-3</v>
      </c>
      <c r="I65" s="177">
        <f t="shared" si="5"/>
        <v>8.9753093723316715E-3</v>
      </c>
    </row>
    <row r="66" spans="3:9" x14ac:dyDescent="0.15">
      <c r="C66" s="441" t="s">
        <v>130</v>
      </c>
      <c r="D66" s="427">
        <f t="shared" si="0"/>
        <v>959714</v>
      </c>
      <c r="E66" s="427">
        <f t="shared" si="1"/>
        <v>67475.973993085427</v>
      </c>
      <c r="F66" s="177">
        <f t="shared" si="2"/>
        <v>0.10106752922397122</v>
      </c>
      <c r="G66" s="177">
        <f t="shared" si="3"/>
        <v>6.7154135437387713E-2</v>
      </c>
      <c r="H66" s="177">
        <f t="shared" si="4"/>
        <v>1.0397692543583789E-2</v>
      </c>
      <c r="I66" s="177">
        <f t="shared" si="5"/>
        <v>2.106225251631208E-2</v>
      </c>
    </row>
    <row r="67" spans="3:9" x14ac:dyDescent="0.15">
      <c r="C67" s="441" t="s">
        <v>129</v>
      </c>
      <c r="D67" s="427">
        <f t="shared" si="0"/>
        <v>363684</v>
      </c>
      <c r="E67" s="427">
        <f t="shared" si="1"/>
        <v>65962.676413452326</v>
      </c>
      <c r="F67" s="177">
        <f t="shared" si="2"/>
        <v>9.8945766703907007E-2</v>
      </c>
      <c r="G67" s="177">
        <f t="shared" si="3"/>
        <v>6.6935069638110634E-2</v>
      </c>
      <c r="H67" s="177">
        <f t="shared" si="4"/>
        <v>3.7768517930535403E-3</v>
      </c>
      <c r="I67" s="177">
        <f t="shared" si="5"/>
        <v>7.7892057348973873E-3</v>
      </c>
    </row>
    <row r="68" spans="3:9" x14ac:dyDescent="0.15">
      <c r="C68" s="1" t="s">
        <v>128</v>
      </c>
      <c r="D68" s="78">
        <f t="shared" si="0"/>
        <v>102518</v>
      </c>
      <c r="E68" s="78">
        <f t="shared" si="1"/>
        <v>78485.041973312007</v>
      </c>
      <c r="F68" s="177">
        <f t="shared" si="2"/>
        <v>0.13275582741499733</v>
      </c>
      <c r="G68" s="177">
        <f t="shared" si="3"/>
        <v>7.8019998538302451E-2</v>
      </c>
      <c r="H68" s="177">
        <f t="shared" si="4"/>
        <v>1.6964360967238745E-3</v>
      </c>
      <c r="I68" s="177">
        <f t="shared" si="5"/>
        <v>3.0394610276210381E-3</v>
      </c>
    </row>
    <row r="69" spans="3:9" x14ac:dyDescent="0.15">
      <c r="C69" s="441" t="s">
        <v>127</v>
      </c>
      <c r="D69" s="427">
        <f t="shared" si="0"/>
        <v>6478</v>
      </c>
      <c r="E69" s="427">
        <f t="shared" si="1"/>
        <v>41308.154983019456</v>
      </c>
      <c r="F69" s="177">
        <f t="shared" si="2"/>
        <v>0.15353130306264162</v>
      </c>
      <c r="G69" s="177">
        <f t="shared" si="3"/>
        <v>6.5362002326621566E-2</v>
      </c>
      <c r="H69" s="177">
        <f t="shared" si="4"/>
        <v>6.5029595745027952E-5</v>
      </c>
      <c r="I69" s="177">
        <f t="shared" si="5"/>
        <v>8.4400728804543928E-5</v>
      </c>
    </row>
    <row r="70" spans="3:9" x14ac:dyDescent="0.15">
      <c r="C70" s="441" t="s">
        <v>126</v>
      </c>
      <c r="D70" s="427">
        <f t="shared" si="0"/>
        <v>1097</v>
      </c>
      <c r="E70" s="427">
        <f t="shared" si="1"/>
        <v>45845.144457611663</v>
      </c>
      <c r="F70" s="177">
        <f t="shared" si="2"/>
        <v>0.19169825571805735</v>
      </c>
      <c r="G70" s="177">
        <f t="shared" si="3"/>
        <v>7.5586809745286615E-2</v>
      </c>
      <c r="H70" s="177">
        <f t="shared" si="4"/>
        <v>1.5393590929497558E-5</v>
      </c>
      <c r="I70" s="177">
        <f t="shared" si="5"/>
        <v>1.850437948345856E-5</v>
      </c>
    </row>
    <row r="71" spans="3:9" x14ac:dyDescent="0.15">
      <c r="C71" s="441" t="s">
        <v>125</v>
      </c>
      <c r="D71" s="427">
        <f t="shared" si="0"/>
        <v>1623</v>
      </c>
      <c r="E71" s="427">
        <f t="shared" si="1"/>
        <v>44066.386900800986</v>
      </c>
      <c r="F71" s="177">
        <f t="shared" si="2"/>
        <v>0.1857506006968335</v>
      </c>
      <c r="G71" s="177">
        <f t="shared" si="3"/>
        <v>0.1032206763587537</v>
      </c>
      <c r="H71" s="177">
        <f t="shared" si="4"/>
        <v>2.108098643104134E-5</v>
      </c>
      <c r="I71" s="177">
        <f t="shared" si="5"/>
        <v>3.5713641328259591E-5</v>
      </c>
    </row>
    <row r="72" spans="3:9" x14ac:dyDescent="0.15">
      <c r="C72" s="441" t="s">
        <v>124</v>
      </c>
      <c r="D72" s="427">
        <f t="shared" si="0"/>
        <v>599255</v>
      </c>
      <c r="E72" s="427">
        <f t="shared" si="1"/>
        <v>74577.92656221475</v>
      </c>
      <c r="F72" s="177">
        <f t="shared" si="2"/>
        <v>8.6611295692425663E-2</v>
      </c>
      <c r="G72" s="177">
        <f t="shared" si="3"/>
        <v>6.5061571135751992E-2</v>
      </c>
      <c r="H72" s="177">
        <f t="shared" si="4"/>
        <v>6.1320754835218856E-3</v>
      </c>
      <c r="I72" s="177">
        <f t="shared" si="5"/>
        <v>1.4043140262269634E-2</v>
      </c>
    </row>
    <row r="73" spans="3:9" x14ac:dyDescent="0.15">
      <c r="C73" s="1" t="s">
        <v>123</v>
      </c>
      <c r="D73" s="78">
        <f t="shared" si="0"/>
        <v>2615244</v>
      </c>
      <c r="E73" s="78">
        <f t="shared" si="1"/>
        <v>83796.525197507392</v>
      </c>
      <c r="F73" s="177">
        <f t="shared" si="2"/>
        <v>0.32060727972706587</v>
      </c>
      <c r="G73" s="177">
        <f t="shared" si="3"/>
        <v>9.8056988430534273E-2</v>
      </c>
      <c r="H73" s="177">
        <f t="shared" si="4"/>
        <v>0.11122040783243296</v>
      </c>
      <c r="I73" s="177">
        <f t="shared" si="5"/>
        <v>0.10370420947522226</v>
      </c>
    </row>
    <row r="74" spans="3:9" x14ac:dyDescent="0.15">
      <c r="C74" s="1" t="s">
        <v>122</v>
      </c>
      <c r="D74" s="78">
        <f t="shared" si="0"/>
        <v>235815</v>
      </c>
      <c r="E74" s="78">
        <f t="shared" si="1"/>
        <v>96559.689565973327</v>
      </c>
      <c r="F74" s="451">
        <f t="shared" si="2"/>
        <v>0.61213079905825885</v>
      </c>
      <c r="G74" s="177">
        <f t="shared" si="3"/>
        <v>8.3335236416898592E-2</v>
      </c>
      <c r="H74" s="177">
        <f t="shared" si="4"/>
        <v>2.2070570731183882E-2</v>
      </c>
      <c r="I74" s="177">
        <f t="shared" si="5"/>
        <v>9.160195333730102E-3</v>
      </c>
    </row>
    <row r="75" spans="3:9" x14ac:dyDescent="0.15">
      <c r="C75" s="441" t="s">
        <v>121</v>
      </c>
      <c r="D75" s="427">
        <f t="shared" si="0"/>
        <v>9617</v>
      </c>
      <c r="E75" s="427">
        <f t="shared" si="1"/>
        <v>62267.453490693559</v>
      </c>
      <c r="F75" s="177">
        <f t="shared" si="2"/>
        <v>0.48618284883909574</v>
      </c>
      <c r="G75" s="177">
        <f t="shared" si="3"/>
        <v>7.8372529521210349E-2</v>
      </c>
      <c r="H75" s="177">
        <f t="shared" si="4"/>
        <v>4.6064062030712338E-4</v>
      </c>
      <c r="I75" s="177">
        <f t="shared" si="5"/>
        <v>2.2637746522991719E-4</v>
      </c>
    </row>
    <row r="76" spans="3:9" x14ac:dyDescent="0.15">
      <c r="C76" s="441" t="s">
        <v>120</v>
      </c>
      <c r="D76" s="427">
        <f t="shared" si="0"/>
        <v>97379</v>
      </c>
      <c r="E76" s="427">
        <f t="shared" si="1"/>
        <v>55427.591730044463</v>
      </c>
      <c r="F76" s="177">
        <f t="shared" si="2"/>
        <v>0.24340162912485505</v>
      </c>
      <c r="G76" s="177">
        <f t="shared" si="3"/>
        <v>7.8378734881663886E-2</v>
      </c>
      <c r="H76" s="177">
        <f t="shared" si="4"/>
        <v>2.0812347341938788E-3</v>
      </c>
      <c r="I76" s="177">
        <f t="shared" si="5"/>
        <v>2.0431608779894021E-3</v>
      </c>
    </row>
    <row r="77" spans="3:9" x14ac:dyDescent="0.15">
      <c r="C77" s="441" t="s">
        <v>119</v>
      </c>
      <c r="D77" s="427">
        <f t="shared" si="0"/>
        <v>27401</v>
      </c>
      <c r="E77" s="427">
        <f t="shared" si="1"/>
        <v>68841.215234115545</v>
      </c>
      <c r="F77" s="177">
        <f t="shared" si="2"/>
        <v>0.39530459828727083</v>
      </c>
      <c r="G77" s="177">
        <f t="shared" si="3"/>
        <v>5.6183097538242313E-2</v>
      </c>
      <c r="H77" s="177">
        <f t="shared" si="4"/>
        <v>1.18504506907665E-3</v>
      </c>
      <c r="I77" s="177">
        <f t="shared" si="5"/>
        <v>5.1347039796373112E-4</v>
      </c>
    </row>
    <row r="78" spans="3:9" x14ac:dyDescent="0.15">
      <c r="C78" s="441" t="s">
        <v>118</v>
      </c>
      <c r="D78" s="427">
        <f t="shared" si="0"/>
        <v>24</v>
      </c>
      <c r="E78" s="427">
        <f t="shared" si="1"/>
        <v>32534.596666666668</v>
      </c>
      <c r="F78" s="177">
        <f t="shared" si="2"/>
        <v>0.14634192227576406</v>
      </c>
      <c r="G78" s="177">
        <f t="shared" si="3"/>
        <v>6.8973102888730028E-2</v>
      </c>
      <c r="H78" s="177">
        <f t="shared" si="4"/>
        <v>1.8075514804745713E-7</v>
      </c>
      <c r="I78" s="177">
        <f t="shared" si="5"/>
        <v>2.5972180603151676E-7</v>
      </c>
    </row>
    <row r="79" spans="3:9" x14ac:dyDescent="0.15">
      <c r="C79" s="441" t="s">
        <v>117</v>
      </c>
      <c r="D79" s="427">
        <f t="shared" si="0"/>
        <v>76900</v>
      </c>
      <c r="E79" s="427">
        <f t="shared" si="1"/>
        <v>54091.599227568273</v>
      </c>
      <c r="F79" s="451">
        <f t="shared" si="2"/>
        <v>0.56555732200663533</v>
      </c>
      <c r="G79" s="451">
        <f t="shared" si="3"/>
        <v>0.19441308932697504</v>
      </c>
      <c r="H79" s="177">
        <f t="shared" si="4"/>
        <v>3.7261345470595334E-3</v>
      </c>
      <c r="I79" s="177">
        <f t="shared" si="5"/>
        <v>3.9049379323402218E-3</v>
      </c>
    </row>
    <row r="80" spans="3:9" x14ac:dyDescent="0.15">
      <c r="C80" s="441" t="s">
        <v>116</v>
      </c>
      <c r="D80" s="427">
        <f t="shared" si="0"/>
        <v>799490</v>
      </c>
      <c r="E80" s="427">
        <f t="shared" si="1"/>
        <v>69493.27054802436</v>
      </c>
      <c r="F80" s="177">
        <f t="shared" si="2"/>
        <v>0.3553254161590278</v>
      </c>
      <c r="G80" s="177">
        <f t="shared" si="3"/>
        <v>8.9922706265884847E-2</v>
      </c>
      <c r="H80" s="177">
        <f t="shared" si="4"/>
        <v>3.2065309306115536E-2</v>
      </c>
      <c r="I80" s="177">
        <f t="shared" si="5"/>
        <v>2.4739177652641959E-2</v>
      </c>
    </row>
    <row r="81" spans="3:9" x14ac:dyDescent="0.15">
      <c r="C81" s="441" t="s">
        <v>115</v>
      </c>
      <c r="D81" s="427">
        <f t="shared" si="0"/>
        <v>64092</v>
      </c>
      <c r="E81" s="427">
        <f t="shared" si="1"/>
        <v>26348.451743587342</v>
      </c>
      <c r="F81" s="177">
        <f t="shared" si="2"/>
        <v>0.32024452145028059</v>
      </c>
      <c r="G81" s="177">
        <f t="shared" si="3"/>
        <v>1.7596887676443525E-2</v>
      </c>
      <c r="H81" s="177">
        <f t="shared" si="4"/>
        <v>8.6424320093333247E-4</v>
      </c>
      <c r="I81" s="177">
        <f t="shared" si="5"/>
        <v>1.4477609389120397E-4</v>
      </c>
    </row>
  </sheetData>
  <mergeCells count="13">
    <mergeCell ref="C12:C13"/>
    <mergeCell ref="D12:D13"/>
    <mergeCell ref="E12:E13"/>
    <mergeCell ref="F12:F13"/>
    <mergeCell ref="G12:G13"/>
    <mergeCell ref="U12:U13"/>
    <mergeCell ref="O12:O13"/>
    <mergeCell ref="S12:S13"/>
    <mergeCell ref="T12:T13"/>
    <mergeCell ref="H12:N12"/>
    <mergeCell ref="P12:P13"/>
    <mergeCell ref="Q12:Q13"/>
    <mergeCell ref="R12:R13"/>
  </mergeCells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61" firstPageNumber="0" fitToHeight="0" orientation="landscape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8">
    <pageSetUpPr fitToPage="1"/>
  </sheetPr>
  <dimension ref="B3:V114"/>
  <sheetViews>
    <sheetView showGridLines="0" topLeftCell="A66" zoomScale="150" zoomScaleNormal="150" zoomScalePageLayoutView="150" workbookViewId="0">
      <selection activeCell="F90" sqref="F90"/>
    </sheetView>
  </sheetViews>
  <sheetFormatPr baseColWidth="10" defaultColWidth="8.83203125" defaultRowHeight="13" x14ac:dyDescent="0.15"/>
  <cols>
    <col min="1" max="2" width="3.33203125" style="1" customWidth="1"/>
    <col min="3" max="3" width="58.6640625" style="1" customWidth="1"/>
    <col min="4" max="4" width="11.6640625" style="1" customWidth="1"/>
    <col min="5" max="5" width="9.6640625" style="1" customWidth="1"/>
    <col min="6" max="14" width="8.6640625" style="1" customWidth="1"/>
    <col min="15" max="15" width="9.5" style="1" customWidth="1"/>
    <col min="16" max="16" width="10" style="1" customWidth="1"/>
    <col min="17" max="17" width="9.5" style="1" customWidth="1"/>
    <col min="18" max="18" width="9.1640625" style="1" customWidth="1"/>
    <col min="19" max="19" width="9.5" style="1" customWidth="1"/>
    <col min="20" max="21" width="9.6640625" style="1" customWidth="1"/>
    <col min="22" max="22" width="3.33203125" style="1" customWidth="1"/>
    <col min="23" max="16384" width="8.83203125" style="1"/>
  </cols>
  <sheetData>
    <row r="3" spans="2:22" ht="14" thickBot="1" x14ac:dyDescent="0.2">
      <c r="B3" s="184">
        <v>2.5</v>
      </c>
      <c r="C3" s="9">
        <v>58</v>
      </c>
      <c r="D3" s="9">
        <v>11</v>
      </c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4">
        <v>2.5</v>
      </c>
    </row>
    <row r="4" spans="2:22" ht="13" customHeight="1" x14ac:dyDescent="0.15">
      <c r="B4" s="69"/>
      <c r="C4" s="70"/>
      <c r="D4" s="70"/>
      <c r="E4" s="70"/>
      <c r="F4" s="70"/>
      <c r="G4" s="70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71"/>
    </row>
    <row r="5" spans="2:22" ht="13" customHeight="1" x14ac:dyDescent="0.15">
      <c r="B5" s="72"/>
      <c r="C5" s="73"/>
      <c r="D5" s="74"/>
      <c r="E5" s="74"/>
      <c r="F5" s="74"/>
      <c r="G5" s="73"/>
      <c r="H5" s="73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 t="s">
        <v>453</v>
      </c>
      <c r="V5" s="75"/>
    </row>
    <row r="6" spans="2:22" ht="13" customHeight="1" x14ac:dyDescent="0.15"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5"/>
    </row>
    <row r="7" spans="2:22" ht="13" customHeight="1" x14ac:dyDescent="0.15">
      <c r="B7" s="72"/>
      <c r="C7" s="77" t="s">
        <v>438</v>
      </c>
      <c r="D7" s="86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5"/>
    </row>
    <row r="8" spans="2:22" ht="13" customHeight="1" x14ac:dyDescent="0.15">
      <c r="B8" s="72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5"/>
    </row>
    <row r="9" spans="2:22" ht="15" customHeight="1" x14ac:dyDescent="0.15">
      <c r="B9" s="2"/>
      <c r="V9" s="22"/>
    </row>
    <row r="10" spans="2:22" ht="15" customHeight="1" x14ac:dyDescent="0.15">
      <c r="B10" s="2"/>
      <c r="C10" s="12" t="s">
        <v>406</v>
      </c>
      <c r="D10" s="12"/>
      <c r="E10" s="12"/>
      <c r="F10" s="12"/>
      <c r="G10" s="12"/>
      <c r="V10" s="22"/>
    </row>
    <row r="11" spans="2:22" ht="15" customHeight="1" thickBot="1" x14ac:dyDescent="0.2">
      <c r="B11" s="2"/>
      <c r="C11" s="12"/>
      <c r="D11" s="12"/>
      <c r="T11" s="11"/>
      <c r="U11" s="11" t="s">
        <v>39</v>
      </c>
      <c r="V11" s="22"/>
    </row>
    <row r="12" spans="2:22" ht="15" customHeight="1" thickBot="1" x14ac:dyDescent="0.2">
      <c r="B12" s="2"/>
      <c r="C12" s="477" t="s">
        <v>62</v>
      </c>
      <c r="D12" s="477" t="s">
        <v>68</v>
      </c>
      <c r="E12" s="477" t="s">
        <v>363</v>
      </c>
      <c r="F12" s="477" t="s">
        <v>374</v>
      </c>
      <c r="G12" s="477" t="s">
        <v>0</v>
      </c>
      <c r="H12" s="481" t="s">
        <v>7</v>
      </c>
      <c r="I12" s="481"/>
      <c r="J12" s="481"/>
      <c r="K12" s="481"/>
      <c r="L12" s="481"/>
      <c r="M12" s="481"/>
      <c r="N12" s="481"/>
      <c r="O12" s="477" t="s">
        <v>66</v>
      </c>
      <c r="P12" s="477" t="s">
        <v>40</v>
      </c>
      <c r="Q12" s="477" t="s">
        <v>360</v>
      </c>
      <c r="R12" s="477" t="s">
        <v>361</v>
      </c>
      <c r="S12" s="477" t="s">
        <v>362</v>
      </c>
      <c r="T12" s="477" t="s">
        <v>44</v>
      </c>
      <c r="U12" s="477" t="s">
        <v>46</v>
      </c>
      <c r="V12" s="22"/>
    </row>
    <row r="13" spans="2:22" ht="36.75" customHeight="1" thickBot="1" x14ac:dyDescent="0.2">
      <c r="B13" s="2"/>
      <c r="C13" s="487"/>
      <c r="D13" s="487"/>
      <c r="E13" s="487"/>
      <c r="F13" s="487"/>
      <c r="G13" s="487"/>
      <c r="H13" s="191" t="s">
        <v>1</v>
      </c>
      <c r="I13" s="191" t="s">
        <v>2</v>
      </c>
      <c r="J13" s="191" t="s">
        <v>3</v>
      </c>
      <c r="K13" s="191" t="s">
        <v>4</v>
      </c>
      <c r="L13" s="191" t="s">
        <v>5</v>
      </c>
      <c r="M13" s="191" t="s">
        <v>67</v>
      </c>
      <c r="N13" s="191" t="s">
        <v>6</v>
      </c>
      <c r="O13" s="487"/>
      <c r="P13" s="487"/>
      <c r="Q13" s="487"/>
      <c r="R13" s="487"/>
      <c r="S13" s="487"/>
      <c r="T13" s="487"/>
      <c r="U13" s="487"/>
      <c r="V13" s="22"/>
    </row>
    <row r="14" spans="2:22" ht="14" customHeight="1" x14ac:dyDescent="0.15">
      <c r="B14" s="2"/>
      <c r="C14" s="14" t="s">
        <v>275</v>
      </c>
      <c r="D14" s="290">
        <v>4833522</v>
      </c>
      <c r="E14" s="291">
        <v>153.09326666423999</v>
      </c>
      <c r="F14" s="291">
        <v>18.177299502189999</v>
      </c>
      <c r="G14" s="291">
        <v>58.512298738689999</v>
      </c>
      <c r="H14" s="291">
        <v>5.7562512963199994</v>
      </c>
      <c r="I14" s="274">
        <v>4.2032735429999999</v>
      </c>
      <c r="J14" s="274">
        <v>2.0174317340200001</v>
      </c>
      <c r="K14" s="274">
        <v>4.1842946087700001</v>
      </c>
      <c r="L14" s="274">
        <v>1.1278506598800002</v>
      </c>
      <c r="M14" s="274">
        <v>1.07716516405</v>
      </c>
      <c r="N14" s="274">
        <v>17.017871559079996</v>
      </c>
      <c r="O14" s="274">
        <v>118.72087176579001</v>
      </c>
      <c r="P14" s="274">
        <v>7.5970275702500007</v>
      </c>
      <c r="Q14" s="274">
        <v>7.8243476707799999</v>
      </c>
      <c r="R14" s="274">
        <v>1.2097682114099999</v>
      </c>
      <c r="S14" s="274">
        <v>1.7736206993299999</v>
      </c>
      <c r="T14" s="274">
        <v>510.62864249376003</v>
      </c>
      <c r="U14" s="274">
        <v>45.292293906300003</v>
      </c>
      <c r="V14" s="88">
        <v>0</v>
      </c>
    </row>
    <row r="15" spans="2:22" ht="14" customHeight="1" x14ac:dyDescent="0.15">
      <c r="B15" s="2"/>
      <c r="C15" s="23" t="s">
        <v>223</v>
      </c>
      <c r="D15" s="324">
        <v>44973</v>
      </c>
      <c r="E15" s="325">
        <v>3.1556769791999999</v>
      </c>
      <c r="F15" s="325">
        <v>0.25932928696000002</v>
      </c>
      <c r="G15" s="325">
        <v>0.59358435536999998</v>
      </c>
      <c r="H15" s="325">
        <v>0.24445380915000001</v>
      </c>
      <c r="I15" s="275">
        <v>0.11275316231999999</v>
      </c>
      <c r="J15" s="275">
        <v>0.10268069020999999</v>
      </c>
      <c r="K15" s="275">
        <v>0.14767542915000001</v>
      </c>
      <c r="L15" s="275">
        <v>8.3488198000000007E-3</v>
      </c>
      <c r="M15" s="275">
        <v>8.0753265290000001E-2</v>
      </c>
      <c r="N15" s="275">
        <v>0.17533024344999981</v>
      </c>
      <c r="O15" s="275">
        <v>2.2915894958299998</v>
      </c>
      <c r="P15" s="275">
        <v>0.26965845305000002</v>
      </c>
      <c r="Q15" s="275">
        <v>0.30007399298000004</v>
      </c>
      <c r="R15" s="275">
        <v>1.7849139400000002E-2</v>
      </c>
      <c r="S15" s="275">
        <v>4.8298684519999996E-2</v>
      </c>
      <c r="T15" s="275">
        <v>4.43752828507</v>
      </c>
      <c r="U15" s="275">
        <v>0.53762573862000007</v>
      </c>
      <c r="V15" s="88">
        <v>1</v>
      </c>
    </row>
    <row r="16" spans="2:22" ht="14" customHeight="1" x14ac:dyDescent="0.15">
      <c r="B16" s="2"/>
      <c r="C16" s="23" t="s">
        <v>247</v>
      </c>
      <c r="D16" s="324">
        <v>104288</v>
      </c>
      <c r="E16" s="325">
        <v>6.960231553549999</v>
      </c>
      <c r="F16" s="325">
        <v>0.54085100883000004</v>
      </c>
      <c r="G16" s="325">
        <v>0.97277043781000005</v>
      </c>
      <c r="H16" s="325">
        <v>0.66630961573000003</v>
      </c>
      <c r="I16" s="275">
        <v>0.33127612919999999</v>
      </c>
      <c r="J16" s="275">
        <v>0.30305369088</v>
      </c>
      <c r="K16" s="275">
        <v>0.42493843519000002</v>
      </c>
      <c r="L16" s="275">
        <v>7.6241657000000003E-3</v>
      </c>
      <c r="M16" s="275">
        <v>0.16581985548</v>
      </c>
      <c r="N16" s="275">
        <v>0.24966633611000022</v>
      </c>
      <c r="O16" s="275">
        <v>4.8623535342499995</v>
      </c>
      <c r="P16" s="275">
        <v>0.55199072860999998</v>
      </c>
      <c r="Q16" s="275">
        <v>0.65426600811999991</v>
      </c>
      <c r="R16" s="275">
        <v>2.6238308950000001E-2</v>
      </c>
      <c r="S16" s="275">
        <v>0.12858974042000001</v>
      </c>
      <c r="T16" s="275">
        <v>8.8036208437500001</v>
      </c>
      <c r="U16" s="275">
        <v>1.1186129230399999</v>
      </c>
      <c r="V16" s="88">
        <v>2</v>
      </c>
    </row>
    <row r="17" spans="2:22" ht="14" customHeight="1" x14ac:dyDescent="0.15">
      <c r="B17" s="2"/>
      <c r="C17" s="23" t="s">
        <v>227</v>
      </c>
      <c r="D17" s="324">
        <v>59194</v>
      </c>
      <c r="E17" s="325">
        <v>3.7753909047500001</v>
      </c>
      <c r="F17" s="325">
        <v>0.30823468065999998</v>
      </c>
      <c r="G17" s="325">
        <v>0.72240192870000008</v>
      </c>
      <c r="H17" s="325">
        <v>0.32442643107000002</v>
      </c>
      <c r="I17" s="275">
        <v>0.19950033336</v>
      </c>
      <c r="J17" s="275">
        <v>0.17912843015000002</v>
      </c>
      <c r="K17" s="275">
        <v>0.25251095955000002</v>
      </c>
      <c r="L17" s="275">
        <v>2.6142006600000001E-3</v>
      </c>
      <c r="M17" s="275">
        <v>0.11538130263</v>
      </c>
      <c r="N17" s="275">
        <v>0.14569292206000006</v>
      </c>
      <c r="O17" s="275">
        <v>2.5830371830500001</v>
      </c>
      <c r="P17" s="275">
        <v>0.27333513970000001</v>
      </c>
      <c r="Q17" s="275">
        <v>0.35032447175000003</v>
      </c>
      <c r="R17" s="275">
        <v>9.8785651299999992E-3</v>
      </c>
      <c r="S17" s="275">
        <v>8.6897573120000016E-2</v>
      </c>
      <c r="T17" s="275">
        <v>3.6907208430199998</v>
      </c>
      <c r="U17" s="275">
        <v>0.51602411184999997</v>
      </c>
      <c r="V17" s="88">
        <v>3</v>
      </c>
    </row>
    <row r="18" spans="2:22" ht="14" customHeight="1" x14ac:dyDescent="0.15">
      <c r="B18" s="2"/>
      <c r="C18" s="23" t="s">
        <v>262</v>
      </c>
      <c r="D18" s="324">
        <v>435277</v>
      </c>
      <c r="E18" s="325">
        <v>23.206960220319999</v>
      </c>
      <c r="F18" s="325">
        <v>1.7605627177499998</v>
      </c>
      <c r="G18" s="325">
        <v>1.5017292621999998</v>
      </c>
      <c r="H18" s="325">
        <v>1.81203562747</v>
      </c>
      <c r="I18" s="275">
        <v>1.3881384005999999</v>
      </c>
      <c r="J18" s="275">
        <v>0.81038488067999992</v>
      </c>
      <c r="K18" s="275">
        <v>1.35920490619</v>
      </c>
      <c r="L18" s="275">
        <v>1.2845198300000001E-2</v>
      </c>
      <c r="M18" s="275">
        <v>0.83021901832999989</v>
      </c>
      <c r="N18" s="275">
        <v>1.0920050750499994</v>
      </c>
      <c r="O18" s="275">
        <v>16.070040916259998</v>
      </c>
      <c r="P18" s="275">
        <v>1.1997645187800001</v>
      </c>
      <c r="Q18" s="275">
        <v>1.6101906764799998</v>
      </c>
      <c r="R18" s="275">
        <v>6.0165432830000004E-2</v>
      </c>
      <c r="S18" s="275">
        <v>0.47077629309999997</v>
      </c>
      <c r="T18" s="275">
        <v>19.076372978560002</v>
      </c>
      <c r="U18" s="275">
        <v>4.0307246993400003</v>
      </c>
      <c r="V18" s="88">
        <v>4</v>
      </c>
    </row>
    <row r="19" spans="2:22" ht="14" customHeight="1" x14ac:dyDescent="0.15">
      <c r="B19" s="2"/>
      <c r="C19" s="23" t="s">
        <v>225</v>
      </c>
      <c r="D19" s="324">
        <v>63597</v>
      </c>
      <c r="E19" s="325">
        <v>4.0431321155099997</v>
      </c>
      <c r="F19" s="325">
        <v>0.29262932197000002</v>
      </c>
      <c r="G19" s="325">
        <v>0.25216028838000004</v>
      </c>
      <c r="H19" s="325">
        <v>0.28188190900999999</v>
      </c>
      <c r="I19" s="275">
        <v>0.19335687708000002</v>
      </c>
      <c r="J19" s="275">
        <v>0.15071549197999998</v>
      </c>
      <c r="K19" s="275">
        <v>0.23266611103999998</v>
      </c>
      <c r="L19" s="275">
        <v>4.5663026200000005E-3</v>
      </c>
      <c r="M19" s="275">
        <v>0.15919698468000001</v>
      </c>
      <c r="N19" s="275">
        <v>0.19615420990999999</v>
      </c>
      <c r="O19" s="275">
        <v>2.84328587722</v>
      </c>
      <c r="P19" s="275">
        <v>0.27802114516999998</v>
      </c>
      <c r="Q19" s="275">
        <v>0.36042945900000001</v>
      </c>
      <c r="R19" s="275">
        <v>1.448920911E-2</v>
      </c>
      <c r="S19" s="275">
        <v>9.690393860999999E-2</v>
      </c>
      <c r="T19" s="275">
        <v>3.2910707538200001</v>
      </c>
      <c r="U19" s="275">
        <v>0.62614131186999999</v>
      </c>
      <c r="V19" s="88">
        <v>5</v>
      </c>
    </row>
    <row r="20" spans="2:22" ht="14" customHeight="1" x14ac:dyDescent="0.15">
      <c r="B20" s="2"/>
      <c r="C20" s="23" t="s">
        <v>178</v>
      </c>
      <c r="D20" s="324">
        <v>8549</v>
      </c>
      <c r="E20" s="325">
        <v>0.85727804367000005</v>
      </c>
      <c r="F20" s="325">
        <v>5.0051746300000005E-2</v>
      </c>
      <c r="G20" s="325">
        <v>0.25877346111999999</v>
      </c>
      <c r="H20" s="325">
        <v>2.4892074E-2</v>
      </c>
      <c r="I20" s="275">
        <v>1.2359139960000001E-2</v>
      </c>
      <c r="J20" s="275">
        <v>7.5025967699999998E-3</v>
      </c>
      <c r="K20" s="275">
        <v>2.149295557E-2</v>
      </c>
      <c r="L20" s="275">
        <v>1.5881057399999999E-3</v>
      </c>
      <c r="M20" s="275">
        <v>8.2381061599999996E-3</v>
      </c>
      <c r="N20" s="275">
        <v>5.9807477470000009E-2</v>
      </c>
      <c r="O20" s="275">
        <v>0.72266255381</v>
      </c>
      <c r="P20" s="275">
        <v>0.12951312875999998</v>
      </c>
      <c r="Q20" s="275">
        <v>0.12997189262</v>
      </c>
      <c r="R20" s="275">
        <v>1.1951510580000001E-2</v>
      </c>
      <c r="S20" s="275">
        <v>1.2619555849999999E-2</v>
      </c>
      <c r="T20" s="275">
        <v>3.3003994540299999</v>
      </c>
      <c r="U20" s="275">
        <v>0.54155824033</v>
      </c>
      <c r="V20" s="88">
        <v>6</v>
      </c>
    </row>
    <row r="21" spans="2:22" ht="14" customHeight="1" x14ac:dyDescent="0.15">
      <c r="B21" s="2"/>
      <c r="C21" s="23" t="s">
        <v>242</v>
      </c>
      <c r="D21" s="324">
        <v>20330</v>
      </c>
      <c r="E21" s="325">
        <v>6.1089455906300003</v>
      </c>
      <c r="F21" s="325">
        <v>1.00864920026</v>
      </c>
      <c r="G21" s="325">
        <v>2.8279753010299999</v>
      </c>
      <c r="H21" s="325">
        <v>0.66384309026999999</v>
      </c>
      <c r="I21" s="275">
        <v>4.8423312600000004E-2</v>
      </c>
      <c r="J21" s="275">
        <v>4.5590381560000004E-2</v>
      </c>
      <c r="K21" s="275">
        <v>0.29036606176000002</v>
      </c>
      <c r="L21" s="275">
        <v>5.8262615199999998E-3</v>
      </c>
      <c r="M21" s="275">
        <v>0.11577619903</v>
      </c>
      <c r="N21" s="275">
        <v>5.7261995100001961E-3</v>
      </c>
      <c r="O21" s="275">
        <v>4.9496645487400004</v>
      </c>
      <c r="P21" s="275">
        <v>1.19818569704</v>
      </c>
      <c r="Q21" s="275">
        <v>1.23369209152</v>
      </c>
      <c r="R21" s="275">
        <v>3.4538414109999992E-2</v>
      </c>
      <c r="S21" s="275">
        <v>7.0099827650000016E-2</v>
      </c>
      <c r="T21" s="275">
        <v>23.007570010209996</v>
      </c>
      <c r="U21" s="275">
        <v>1.92013157098</v>
      </c>
      <c r="V21" s="88">
        <v>7</v>
      </c>
    </row>
    <row r="22" spans="2:22" ht="14" customHeight="1" x14ac:dyDescent="0.15">
      <c r="B22" s="2"/>
      <c r="C22" s="23" t="s">
        <v>206</v>
      </c>
      <c r="D22" s="324">
        <v>37105</v>
      </c>
      <c r="E22" s="325">
        <v>2.6317243766100002</v>
      </c>
      <c r="F22" s="325">
        <v>0.13766191917999998</v>
      </c>
      <c r="G22" s="325">
        <v>0.56927445304000002</v>
      </c>
      <c r="H22" s="325">
        <v>0.11154969813999999</v>
      </c>
      <c r="I22" s="275">
        <v>8.38560114E-2</v>
      </c>
      <c r="J22" s="275">
        <v>3.174193267E-2</v>
      </c>
      <c r="K22" s="275">
        <v>6.3927894100000007E-2</v>
      </c>
      <c r="L22" s="275">
        <v>8.2382319699999991E-3</v>
      </c>
      <c r="M22" s="275">
        <v>3.5247020889999994E-2</v>
      </c>
      <c r="N22" s="275">
        <v>0.19561074066000006</v>
      </c>
      <c r="O22" s="275">
        <v>2.10308972783</v>
      </c>
      <c r="P22" s="275">
        <v>0.29127749816999998</v>
      </c>
      <c r="Q22" s="275">
        <v>0.29631150107999998</v>
      </c>
      <c r="R22" s="275">
        <v>2.8290341839999997E-2</v>
      </c>
      <c r="S22" s="275">
        <v>3.3891363989999999E-2</v>
      </c>
      <c r="T22" s="275">
        <v>6.5175382540399998</v>
      </c>
      <c r="U22" s="275">
        <v>0.85433354715999998</v>
      </c>
      <c r="V22" s="88">
        <v>8</v>
      </c>
    </row>
    <row r="23" spans="2:22" ht="14" customHeight="1" x14ac:dyDescent="0.15">
      <c r="B23" s="2"/>
      <c r="C23" s="23" t="s">
        <v>232</v>
      </c>
      <c r="D23" s="324">
        <v>13665</v>
      </c>
      <c r="E23" s="325">
        <v>4.2821670597299999</v>
      </c>
      <c r="F23" s="325">
        <v>0.66712240234999998</v>
      </c>
      <c r="G23" s="325">
        <v>1.8507083762000001</v>
      </c>
      <c r="H23" s="325">
        <v>0.47178615328000006</v>
      </c>
      <c r="I23" s="275">
        <v>3.290680344E-2</v>
      </c>
      <c r="J23" s="275">
        <v>3.171260981E-2</v>
      </c>
      <c r="K23" s="275">
        <v>0.19866108275</v>
      </c>
      <c r="L23" s="275">
        <v>7.9602487999999999E-3</v>
      </c>
      <c r="M23" s="275">
        <v>7.3680879129999988E-2</v>
      </c>
      <c r="N23" s="275">
        <v>2.9125531200000498E-3</v>
      </c>
      <c r="O23" s="275">
        <v>3.4710570002100001</v>
      </c>
      <c r="P23" s="275">
        <v>0.83800620573000006</v>
      </c>
      <c r="Q23" s="275">
        <v>0.86849092101999992</v>
      </c>
      <c r="R23" s="275">
        <v>2.0619840510000001E-2</v>
      </c>
      <c r="S23" s="275">
        <v>5.1116926460000003E-2</v>
      </c>
      <c r="T23" s="275">
        <v>16.189364817120001</v>
      </c>
      <c r="U23" s="275">
        <v>1.18827316241</v>
      </c>
      <c r="V23" s="88">
        <v>9</v>
      </c>
    </row>
    <row r="24" spans="2:22" ht="14" customHeight="1" x14ac:dyDescent="0.15">
      <c r="B24" s="2"/>
      <c r="C24" s="23" t="s">
        <v>228</v>
      </c>
      <c r="D24" s="324">
        <v>63047</v>
      </c>
      <c r="E24" s="325">
        <v>4.4853572041599996</v>
      </c>
      <c r="F24" s="325">
        <v>0.39398244314999997</v>
      </c>
      <c r="G24" s="325">
        <v>0.65608403354</v>
      </c>
      <c r="H24" s="325">
        <v>0.22189112583000004</v>
      </c>
      <c r="I24" s="275">
        <v>9.2657435999999996E-2</v>
      </c>
      <c r="J24" s="275">
        <v>6.1683442499999998E-2</v>
      </c>
      <c r="K24" s="275">
        <v>0.18261606368</v>
      </c>
      <c r="L24" s="275">
        <v>8.5105703000000008E-3</v>
      </c>
      <c r="M24" s="275">
        <v>4.163480956E-2</v>
      </c>
      <c r="N24" s="275">
        <v>0.31947156107999986</v>
      </c>
      <c r="O24" s="275">
        <v>3.5760133105</v>
      </c>
      <c r="P24" s="275">
        <v>0.50201577286999999</v>
      </c>
      <c r="Q24" s="275">
        <v>0.54131093733000002</v>
      </c>
      <c r="R24" s="275">
        <v>3.9529001189999996E-2</v>
      </c>
      <c r="S24" s="275">
        <v>7.9273530209999998E-2</v>
      </c>
      <c r="T24" s="275">
        <v>9.271318213819999</v>
      </c>
      <c r="U24" s="275">
        <v>1.1811221198899999</v>
      </c>
      <c r="V24" s="88">
        <v>10</v>
      </c>
    </row>
    <row r="25" spans="2:22" ht="14" customHeight="1" x14ac:dyDescent="0.15">
      <c r="B25" s="2"/>
      <c r="C25" s="23" t="s">
        <v>167</v>
      </c>
      <c r="D25" s="324">
        <v>2655</v>
      </c>
      <c r="E25" s="325">
        <v>0.33679217025000002</v>
      </c>
      <c r="F25" s="325">
        <v>7.6215514830000011E-2</v>
      </c>
      <c r="G25" s="325">
        <v>0.40413826393000002</v>
      </c>
      <c r="H25" s="325">
        <v>4.2086065880000002E-2</v>
      </c>
      <c r="I25" s="275">
        <v>3.9271069200000003E-3</v>
      </c>
      <c r="J25" s="275">
        <v>2.45018591E-3</v>
      </c>
      <c r="K25" s="275">
        <v>1.1801288E-2</v>
      </c>
      <c r="L25" s="275">
        <v>1.6854641000000001E-4</v>
      </c>
      <c r="M25" s="275">
        <v>5.99000642E-3</v>
      </c>
      <c r="N25" s="275">
        <v>5.7012134699999939E-3</v>
      </c>
      <c r="O25" s="275">
        <v>0.26596203761000003</v>
      </c>
      <c r="P25" s="275">
        <v>5.0270378679999991E-2</v>
      </c>
      <c r="Q25" s="275">
        <v>5.5454593399999995E-2</v>
      </c>
      <c r="R25" s="275">
        <v>2.8767956200000003E-3</v>
      </c>
      <c r="S25" s="275">
        <v>8.2182117700000008E-3</v>
      </c>
      <c r="T25" s="275">
        <v>2.1075047375499998</v>
      </c>
      <c r="U25" s="275">
        <v>8.5126743499999991E-2</v>
      </c>
      <c r="V25" s="88">
        <v>11</v>
      </c>
    </row>
    <row r="26" spans="2:22" ht="14" customHeight="1" x14ac:dyDescent="0.15">
      <c r="B26" s="2"/>
      <c r="C26" s="23" t="s">
        <v>240</v>
      </c>
      <c r="D26" s="324">
        <v>44768</v>
      </c>
      <c r="E26" s="325">
        <v>5.6680517173000009</v>
      </c>
      <c r="F26" s="325">
        <v>0.50530109967000003</v>
      </c>
      <c r="G26" s="325">
        <v>0.77579049775000009</v>
      </c>
      <c r="H26" s="325">
        <v>0.46393354162</v>
      </c>
      <c r="I26" s="275">
        <v>8.2225735799999991E-2</v>
      </c>
      <c r="J26" s="275">
        <v>7.2088167110000004E-2</v>
      </c>
      <c r="K26" s="275">
        <v>0.23579969575000001</v>
      </c>
      <c r="L26" s="275">
        <v>2.4971758599999999E-3</v>
      </c>
      <c r="M26" s="275">
        <v>9.7124785180000006E-2</v>
      </c>
      <c r="N26" s="275">
        <v>0.1555206171500001</v>
      </c>
      <c r="O26" s="275">
        <v>4.5731188985599998</v>
      </c>
      <c r="P26" s="275">
        <v>0.88634588321999996</v>
      </c>
      <c r="Q26" s="275">
        <v>0.96337919548999995</v>
      </c>
      <c r="R26" s="275">
        <v>1.9519963679999999E-2</v>
      </c>
      <c r="S26" s="275">
        <v>9.6610943340000005E-2</v>
      </c>
      <c r="T26" s="275">
        <v>11.0664199686</v>
      </c>
      <c r="U26" s="275">
        <v>1.2718356482200002</v>
      </c>
      <c r="V26" s="88">
        <v>12</v>
      </c>
    </row>
    <row r="27" spans="2:22" ht="14" customHeight="1" x14ac:dyDescent="0.15">
      <c r="B27" s="2"/>
      <c r="C27" s="23" t="s">
        <v>212</v>
      </c>
      <c r="D27" s="324">
        <v>28836</v>
      </c>
      <c r="E27" s="325">
        <v>2.6334992025699999</v>
      </c>
      <c r="F27" s="325">
        <v>0.22761429491999999</v>
      </c>
      <c r="G27" s="325">
        <v>0.52687397163999994</v>
      </c>
      <c r="H27" s="325">
        <v>0.19002394883000001</v>
      </c>
      <c r="I27" s="275">
        <v>4.8763813200000006E-2</v>
      </c>
      <c r="J27" s="275">
        <v>4.0935938079999998E-2</v>
      </c>
      <c r="K27" s="275">
        <v>0.12060768048999999</v>
      </c>
      <c r="L27" s="275">
        <v>6.8578762999999996E-4</v>
      </c>
      <c r="M27" s="275">
        <v>2.2267316419999999E-2</v>
      </c>
      <c r="N27" s="275">
        <v>0.13668436990999988</v>
      </c>
      <c r="O27" s="275">
        <v>2.0774241133600002</v>
      </c>
      <c r="P27" s="275">
        <v>0.32012962743000001</v>
      </c>
      <c r="Q27" s="275">
        <v>0.35742805943</v>
      </c>
      <c r="R27" s="275">
        <v>9.0238227299999987E-3</v>
      </c>
      <c r="S27" s="275">
        <v>4.6365363909999999E-2</v>
      </c>
      <c r="T27" s="275">
        <v>4.8331131644700003</v>
      </c>
      <c r="U27" s="275">
        <v>0.86710939364999995</v>
      </c>
      <c r="V27" s="88">
        <v>13</v>
      </c>
    </row>
    <row r="28" spans="2:22" ht="14" customHeight="1" x14ac:dyDescent="0.15">
      <c r="B28" s="2"/>
      <c r="C28" s="23" t="s">
        <v>264</v>
      </c>
      <c r="D28" s="324">
        <v>210243</v>
      </c>
      <c r="E28" s="325">
        <v>22.716319012189999</v>
      </c>
      <c r="F28" s="325">
        <v>2.1046108855200001</v>
      </c>
      <c r="G28" s="325">
        <v>4.3945990561599997</v>
      </c>
      <c r="H28" s="325">
        <v>1.7350386196200001</v>
      </c>
      <c r="I28" s="275">
        <v>0.42514698551999996</v>
      </c>
      <c r="J28" s="275">
        <v>0.36807420157999998</v>
      </c>
      <c r="K28" s="275">
        <v>1.14929821269</v>
      </c>
      <c r="L28" s="275">
        <v>6.4699602070000001E-2</v>
      </c>
      <c r="M28" s="275">
        <v>0.23866985463000001</v>
      </c>
      <c r="N28" s="275">
        <v>0.82680165417000007</v>
      </c>
      <c r="O28" s="275">
        <v>17.929075239760003</v>
      </c>
      <c r="P28" s="275">
        <v>3.0387930243699999</v>
      </c>
      <c r="Q28" s="275">
        <v>3.3789629183700001</v>
      </c>
      <c r="R28" s="275">
        <v>7.2056558669999993E-2</v>
      </c>
      <c r="S28" s="275">
        <v>0.41368108011000004</v>
      </c>
      <c r="T28" s="275">
        <v>44.787703571950004</v>
      </c>
      <c r="U28" s="275">
        <v>7.31930825265</v>
      </c>
      <c r="V28" s="88">
        <v>14</v>
      </c>
    </row>
    <row r="29" spans="2:22" ht="14" customHeight="1" x14ac:dyDescent="0.15">
      <c r="B29" s="2"/>
      <c r="C29" s="23" t="s">
        <v>239</v>
      </c>
      <c r="D29" s="324">
        <v>27178</v>
      </c>
      <c r="E29" s="325">
        <v>5.5430913310799994</v>
      </c>
      <c r="F29" s="325">
        <v>0.55567049281000003</v>
      </c>
      <c r="G29" s="325">
        <v>0.89494979652000006</v>
      </c>
      <c r="H29" s="325">
        <v>0.54821089937</v>
      </c>
      <c r="I29" s="275">
        <v>4.5094661280000004E-2</v>
      </c>
      <c r="J29" s="275">
        <v>4.2825890899999997E-2</v>
      </c>
      <c r="K29" s="275">
        <v>0.23165991187999999</v>
      </c>
      <c r="L29" s="275">
        <v>7.59634022E-3</v>
      </c>
      <c r="M29" s="275">
        <v>5.8665849450000002E-2</v>
      </c>
      <c r="N29" s="275">
        <v>5.6694010510000115E-2</v>
      </c>
      <c r="O29" s="275">
        <v>4.5646373951400001</v>
      </c>
      <c r="P29" s="275">
        <v>1.0099931003</v>
      </c>
      <c r="Q29" s="275">
        <v>1.0427854620300001</v>
      </c>
      <c r="R29" s="275">
        <v>3.1823371480000001E-2</v>
      </c>
      <c r="S29" s="275">
        <v>6.4945683729999995E-2</v>
      </c>
      <c r="T29" s="275">
        <v>13.53888263796</v>
      </c>
      <c r="U29" s="275">
        <v>1.4895517554300002</v>
      </c>
      <c r="V29" s="88">
        <v>15</v>
      </c>
    </row>
    <row r="30" spans="2:22" ht="14" customHeight="1" x14ac:dyDescent="0.15">
      <c r="B30" s="2"/>
      <c r="C30" s="23" t="s">
        <v>256</v>
      </c>
      <c r="D30" s="324">
        <v>68160</v>
      </c>
      <c r="E30" s="325">
        <v>13.95938866839</v>
      </c>
      <c r="F30" s="325">
        <v>1.5343153517800001</v>
      </c>
      <c r="G30" s="325">
        <v>1.8196000318800001</v>
      </c>
      <c r="H30" s="325">
        <v>1.47878994322</v>
      </c>
      <c r="I30" s="275">
        <v>0.15963906312000001</v>
      </c>
      <c r="J30" s="275">
        <v>0.14124433744000001</v>
      </c>
      <c r="K30" s="275">
        <v>0.72291196121000001</v>
      </c>
      <c r="L30" s="275">
        <v>4.3161061200000005E-3</v>
      </c>
      <c r="M30" s="275">
        <v>0.23907214218000003</v>
      </c>
      <c r="N30" s="275">
        <v>8.5383188589999381E-2</v>
      </c>
      <c r="O30" s="275">
        <v>11.201367067629999</v>
      </c>
      <c r="P30" s="275">
        <v>2.4601726749499995</v>
      </c>
      <c r="Q30" s="275">
        <v>2.6504921629200004</v>
      </c>
      <c r="R30" s="275">
        <v>3.6000122410000002E-2</v>
      </c>
      <c r="S30" s="275">
        <v>0.22640418950999999</v>
      </c>
      <c r="T30" s="275">
        <v>35.529687835880004</v>
      </c>
      <c r="U30" s="275">
        <v>3.0711463812400002</v>
      </c>
      <c r="V30" s="88">
        <v>16</v>
      </c>
    </row>
    <row r="31" spans="2:22" ht="14" customHeight="1" x14ac:dyDescent="0.15">
      <c r="B31" s="2"/>
      <c r="C31" s="23" t="s">
        <v>192</v>
      </c>
      <c r="D31" s="324">
        <v>5423</v>
      </c>
      <c r="E31" s="325">
        <v>1.1162851842399999</v>
      </c>
      <c r="F31" s="325">
        <v>0.11596004655</v>
      </c>
      <c r="G31" s="325">
        <v>0.16056100191</v>
      </c>
      <c r="H31" s="325">
        <v>0.1137144128</v>
      </c>
      <c r="I31" s="275">
        <v>1.0565836800000001E-2</v>
      </c>
      <c r="J31" s="275">
        <v>8.3624301200000001E-3</v>
      </c>
      <c r="K31" s="275">
        <v>4.8101424560000001E-2</v>
      </c>
      <c r="L31" s="275">
        <v>4.4416793E-4</v>
      </c>
      <c r="M31" s="275">
        <v>1.7529246710000002E-2</v>
      </c>
      <c r="N31" s="275">
        <v>4.9604179699999917E-3</v>
      </c>
      <c r="O31" s="275">
        <v>0.91384922073999997</v>
      </c>
      <c r="P31" s="275">
        <v>0.20080384331000001</v>
      </c>
      <c r="Q31" s="275">
        <v>0.20987795614000002</v>
      </c>
      <c r="R31" s="275">
        <v>3.9983385000000003E-3</v>
      </c>
      <c r="S31" s="275">
        <v>1.3078043609999999E-2</v>
      </c>
      <c r="T31" s="275">
        <v>3.2457177624900004</v>
      </c>
      <c r="U31" s="275">
        <v>0.32241100573000003</v>
      </c>
      <c r="V31" s="88">
        <v>17</v>
      </c>
    </row>
    <row r="32" spans="2:22" ht="14" customHeight="1" x14ac:dyDescent="0.15">
      <c r="B32" s="2"/>
      <c r="C32" s="23" t="s">
        <v>251</v>
      </c>
      <c r="D32" s="324">
        <v>124919</v>
      </c>
      <c r="E32" s="325">
        <v>11.539487045750001</v>
      </c>
      <c r="F32" s="325">
        <v>0.93798659560999997</v>
      </c>
      <c r="G32" s="325">
        <v>1.10750285141</v>
      </c>
      <c r="H32" s="325">
        <v>0.98332702151999996</v>
      </c>
      <c r="I32" s="275">
        <v>0.31972180883999995</v>
      </c>
      <c r="J32" s="275">
        <v>0.25103942318</v>
      </c>
      <c r="K32" s="275">
        <v>0.65043814844000003</v>
      </c>
      <c r="L32" s="275">
        <v>4.5015558099999993E-3</v>
      </c>
      <c r="M32" s="275">
        <v>0.28673110935999996</v>
      </c>
      <c r="N32" s="275">
        <v>0.40323637007000057</v>
      </c>
      <c r="O32" s="275">
        <v>8.6788869010299994</v>
      </c>
      <c r="P32" s="275">
        <v>1.2963565719299999</v>
      </c>
      <c r="Q32" s="275">
        <v>1.50616912829</v>
      </c>
      <c r="R32" s="275">
        <v>3.3826590220000001E-2</v>
      </c>
      <c r="S32" s="275">
        <v>0.24396944585000002</v>
      </c>
      <c r="T32" s="275">
        <v>20.26877989087</v>
      </c>
      <c r="U32" s="275">
        <v>2.9786382309999997</v>
      </c>
      <c r="V32" s="88">
        <v>18</v>
      </c>
    </row>
    <row r="33" spans="2:22" ht="14" customHeight="1" x14ac:dyDescent="0.15">
      <c r="B33" s="2"/>
      <c r="C33" s="23" t="s">
        <v>208</v>
      </c>
      <c r="D33" s="324">
        <v>18040</v>
      </c>
      <c r="E33" s="325">
        <v>2.16810318329</v>
      </c>
      <c r="F33" s="325">
        <v>0.18876189530000001</v>
      </c>
      <c r="G33" s="325">
        <v>0.22914305559000001</v>
      </c>
      <c r="H33" s="325">
        <v>0.17745777744999999</v>
      </c>
      <c r="I33" s="275">
        <v>2.8015976639999999E-2</v>
      </c>
      <c r="J33" s="275">
        <v>2.5025670100000001E-2</v>
      </c>
      <c r="K33" s="275">
        <v>9.7750084409999993E-2</v>
      </c>
      <c r="L33" s="275">
        <v>6.2471756000000004E-4</v>
      </c>
      <c r="M33" s="275">
        <v>2.0932218059999997E-2</v>
      </c>
      <c r="N33" s="275">
        <v>7.1256359079999998E-2</v>
      </c>
      <c r="O33" s="275">
        <v>1.7483975124</v>
      </c>
      <c r="P33" s="275">
        <v>0.32373820728999997</v>
      </c>
      <c r="Q33" s="275">
        <v>0.34497318858000003</v>
      </c>
      <c r="R33" s="275">
        <v>1.0154290140000001E-2</v>
      </c>
      <c r="S33" s="275">
        <v>3.1477350799999998E-2</v>
      </c>
      <c r="T33" s="275">
        <v>4.4153334132199999</v>
      </c>
      <c r="U33" s="275">
        <v>0.61107041163000009</v>
      </c>
      <c r="V33" s="88">
        <v>19</v>
      </c>
    </row>
    <row r="34" spans="2:22" ht="14" customHeight="1" x14ac:dyDescent="0.15">
      <c r="B34" s="2"/>
      <c r="C34" s="23" t="s">
        <v>198</v>
      </c>
      <c r="D34" s="324">
        <v>13528</v>
      </c>
      <c r="E34" s="325">
        <v>1.478208438</v>
      </c>
      <c r="F34" s="325">
        <v>0.13479099595999999</v>
      </c>
      <c r="G34" s="325">
        <v>0.17613333959999999</v>
      </c>
      <c r="H34" s="325">
        <v>0.12367809475000001</v>
      </c>
      <c r="I34" s="275">
        <v>2.6738583480000001E-2</v>
      </c>
      <c r="J34" s="275">
        <v>1.9968694370000001E-2</v>
      </c>
      <c r="K34" s="275">
        <v>0.10135979796</v>
      </c>
      <c r="L34" s="275">
        <v>1.1726408E-3</v>
      </c>
      <c r="M34" s="275">
        <v>1.9423491850000002E-2</v>
      </c>
      <c r="N34" s="275">
        <v>4.1039578719999859E-2</v>
      </c>
      <c r="O34" s="275">
        <v>1.1496227085899999</v>
      </c>
      <c r="P34" s="275">
        <v>0.19540921401</v>
      </c>
      <c r="Q34" s="275">
        <v>0.21486133432999999</v>
      </c>
      <c r="R34" s="275">
        <v>6.9764130699999996E-3</v>
      </c>
      <c r="S34" s="275">
        <v>2.647267595E-2</v>
      </c>
      <c r="T34" s="275">
        <v>2.77967459612</v>
      </c>
      <c r="U34" s="275">
        <v>0.31133217541999997</v>
      </c>
      <c r="V34" s="88">
        <v>20</v>
      </c>
    </row>
    <row r="35" spans="2:22" ht="14" customHeight="1" x14ac:dyDescent="0.15">
      <c r="B35" s="2"/>
      <c r="C35" s="23" t="s">
        <v>267</v>
      </c>
      <c r="D35" s="324">
        <v>421932</v>
      </c>
      <c r="E35" s="325">
        <v>26.591107261189997</v>
      </c>
      <c r="F35" s="325">
        <v>2.2858579144399997</v>
      </c>
      <c r="G35" s="325">
        <v>2.8589828005299998</v>
      </c>
      <c r="H35" s="325">
        <v>1.71089119101</v>
      </c>
      <c r="I35" s="275">
        <v>0.75401897411999996</v>
      </c>
      <c r="J35" s="275">
        <v>0.47331525337000002</v>
      </c>
      <c r="K35" s="275">
        <v>1.4895793017999999</v>
      </c>
      <c r="L35" s="275">
        <v>3.0633575199999999E-2</v>
      </c>
      <c r="M35" s="275">
        <v>0.35358170536000005</v>
      </c>
      <c r="N35" s="275">
        <v>1.6991898741799991</v>
      </c>
      <c r="O35" s="275">
        <v>20.157733698839998</v>
      </c>
      <c r="P35" s="275">
        <v>2.2764407232399999</v>
      </c>
      <c r="Q35" s="275">
        <v>2.6085410463600001</v>
      </c>
      <c r="R35" s="275">
        <v>0.14888146433999999</v>
      </c>
      <c r="S35" s="275">
        <v>0.48270513938999998</v>
      </c>
      <c r="T35" s="275">
        <v>38.240128301559999</v>
      </c>
      <c r="U35" s="275">
        <v>5.0643340377800001</v>
      </c>
      <c r="V35" s="88">
        <v>21</v>
      </c>
    </row>
    <row r="36" spans="2:22" ht="14" customHeight="1" x14ac:dyDescent="0.15">
      <c r="B36" s="2"/>
      <c r="C36" s="23" t="s">
        <v>248</v>
      </c>
      <c r="D36" s="324">
        <v>9340</v>
      </c>
      <c r="E36" s="325">
        <v>9.1786011907600003</v>
      </c>
      <c r="F36" s="325">
        <v>0.18630166011999999</v>
      </c>
      <c r="G36" s="325">
        <v>0.39472930147000002</v>
      </c>
      <c r="H36" s="325">
        <v>8.5706270939999996E-2</v>
      </c>
      <c r="I36" s="275">
        <v>1.2204366960000001E-2</v>
      </c>
      <c r="J36" s="275">
        <v>9.4708807300000006E-3</v>
      </c>
      <c r="K36" s="275">
        <v>5.3183873409999999E-2</v>
      </c>
      <c r="L36" s="275">
        <v>4.8681608142799995</v>
      </c>
      <c r="M36" s="275">
        <v>2.1863520309999999E-2</v>
      </c>
      <c r="N36" s="275">
        <v>2.1479635930000462E-2</v>
      </c>
      <c r="O36" s="275">
        <v>4.1070662389499999</v>
      </c>
      <c r="P36" s="275">
        <v>1.0466864036100001</v>
      </c>
      <c r="Q36" s="275">
        <v>0.96135110551000003</v>
      </c>
      <c r="R36" s="275">
        <v>9.4229049719999999E-2</v>
      </c>
      <c r="S36" s="275">
        <v>2.7703723030000002E-2</v>
      </c>
      <c r="T36" s="275">
        <v>10.597733361449999</v>
      </c>
      <c r="U36" s="275">
        <v>0.55905181272000004</v>
      </c>
      <c r="V36" s="88">
        <v>22</v>
      </c>
    </row>
    <row r="37" spans="2:22" ht="14" customHeight="1" x14ac:dyDescent="0.15">
      <c r="B37" s="2"/>
      <c r="C37" s="23" t="s">
        <v>165</v>
      </c>
      <c r="D37" s="324">
        <v>6609</v>
      </c>
      <c r="E37" s="325">
        <v>0.29844845501000006</v>
      </c>
      <c r="F37" s="325">
        <v>0.13577775233</v>
      </c>
      <c r="G37" s="325">
        <v>0.44490114391000002</v>
      </c>
      <c r="H37" s="325">
        <v>9.010037089999999E-3</v>
      </c>
      <c r="I37" s="275">
        <v>6.7769937599999998E-3</v>
      </c>
      <c r="J37" s="275">
        <v>3.3883881499999998E-3</v>
      </c>
      <c r="K37" s="275">
        <v>1.0371298210000001E-2</v>
      </c>
      <c r="L37" s="275">
        <v>1.7908278400000002E-3</v>
      </c>
      <c r="M37" s="275">
        <v>2.8214470199999999E-3</v>
      </c>
      <c r="N37" s="275">
        <v>2.5701420780000005E-2</v>
      </c>
      <c r="O37" s="275">
        <v>0.23891322029000001</v>
      </c>
      <c r="P37" s="275">
        <v>2.8782588820000003E-2</v>
      </c>
      <c r="Q37" s="275">
        <v>2.60044787E-2</v>
      </c>
      <c r="R37" s="275">
        <v>5.4216710400000001E-3</v>
      </c>
      <c r="S37" s="275">
        <v>2.9854363299999997E-3</v>
      </c>
      <c r="T37" s="275">
        <v>3.3199850302299998</v>
      </c>
      <c r="U37" s="275">
        <v>8.290735128E-2</v>
      </c>
      <c r="V37" s="88">
        <v>23</v>
      </c>
    </row>
    <row r="38" spans="2:22" ht="14" customHeight="1" x14ac:dyDescent="0.15">
      <c r="B38" s="2"/>
      <c r="C38" s="23" t="s">
        <v>274</v>
      </c>
      <c r="D38" s="324">
        <v>2793325</v>
      </c>
      <c r="E38" s="325">
        <v>93.217892364679997</v>
      </c>
      <c r="F38" s="449">
        <v>45.668358723369998</v>
      </c>
      <c r="G38" s="449">
        <v>197.64659151219001</v>
      </c>
      <c r="H38" s="325">
        <v>1.9005340192000002</v>
      </c>
      <c r="I38" s="275">
        <v>0.94152955908000002</v>
      </c>
      <c r="J38" s="275">
        <v>0.60059878200000005</v>
      </c>
      <c r="K38" s="275">
        <v>2.2808743108400003</v>
      </c>
      <c r="L38" s="275">
        <v>0.61806559269000005</v>
      </c>
      <c r="M38" s="275">
        <v>0.70551471957000012</v>
      </c>
      <c r="N38" s="275">
        <v>9.8398602867699978</v>
      </c>
      <c r="O38" s="275">
        <v>76.717839374020002</v>
      </c>
      <c r="P38" s="275">
        <v>8.5786550657799996</v>
      </c>
      <c r="Q38" s="275">
        <v>7.2763588517300004</v>
      </c>
      <c r="R38" s="275">
        <v>1.5873415691499999</v>
      </c>
      <c r="S38" s="275">
        <v>0.55019522353999994</v>
      </c>
      <c r="T38" s="275">
        <v>1736.9802159123501</v>
      </c>
      <c r="U38" s="275">
        <v>118.14690220930001</v>
      </c>
      <c r="V38" s="88">
        <v>24</v>
      </c>
    </row>
    <row r="39" spans="2:22" ht="14" customHeight="1" x14ac:dyDescent="0.15">
      <c r="B39" s="2"/>
      <c r="C39" s="23" t="s">
        <v>177</v>
      </c>
      <c r="D39" s="324">
        <v>12921</v>
      </c>
      <c r="E39" s="325">
        <v>0.67382776418000012</v>
      </c>
      <c r="F39" s="325">
        <v>7.0178236519999992E-2</v>
      </c>
      <c r="G39" s="325">
        <v>0.27158985862000001</v>
      </c>
      <c r="H39" s="325">
        <v>2.6051651510000003E-2</v>
      </c>
      <c r="I39" s="275">
        <v>8.0605778399999994E-3</v>
      </c>
      <c r="J39" s="275">
        <v>5.3922760900000002E-3</v>
      </c>
      <c r="K39" s="275">
        <v>1.7116158949999998E-2</v>
      </c>
      <c r="L39" s="275">
        <v>3.6633652100000001E-3</v>
      </c>
      <c r="M39" s="275">
        <v>7.0530036800000003E-3</v>
      </c>
      <c r="N39" s="275">
        <v>4.2718167619999997E-2</v>
      </c>
      <c r="O39" s="275">
        <v>0.56442613906000005</v>
      </c>
      <c r="P39" s="275">
        <v>9.246635751E-2</v>
      </c>
      <c r="Q39" s="275">
        <v>9.0578726679999999E-2</v>
      </c>
      <c r="R39" s="275">
        <v>7.1823848799999999E-3</v>
      </c>
      <c r="S39" s="275">
        <v>5.9621109400000002E-3</v>
      </c>
      <c r="T39" s="275">
        <v>2.8582021227499999</v>
      </c>
      <c r="U39" s="275">
        <v>0.24181177112000002</v>
      </c>
      <c r="V39" s="88">
        <v>25</v>
      </c>
    </row>
    <row r="40" spans="2:22" ht="14" customHeight="1" x14ac:dyDescent="0.15">
      <c r="B40" s="2"/>
      <c r="C40" s="23" t="s">
        <v>271</v>
      </c>
      <c r="D40" s="324">
        <v>814148</v>
      </c>
      <c r="E40" s="325">
        <v>49.702690970969996</v>
      </c>
      <c r="F40" s="325">
        <v>8.6802317602599999</v>
      </c>
      <c r="G40" s="325">
        <v>27.33794146612</v>
      </c>
      <c r="H40" s="325">
        <v>2.00842024023</v>
      </c>
      <c r="I40" s="275">
        <v>0.9872722033200001</v>
      </c>
      <c r="J40" s="275">
        <v>0.75794669300999995</v>
      </c>
      <c r="K40" s="275">
        <v>1.5220409929800001</v>
      </c>
      <c r="L40" s="275">
        <v>0.11705535139000001</v>
      </c>
      <c r="M40" s="275">
        <v>0.47512746351000001</v>
      </c>
      <c r="N40" s="275">
        <v>3.4344598410299998</v>
      </c>
      <c r="O40" s="275">
        <v>40.514012996760002</v>
      </c>
      <c r="P40" s="275">
        <v>6.0053675927399999</v>
      </c>
      <c r="Q40" s="275">
        <v>6.2439954137400004</v>
      </c>
      <c r="R40" s="275">
        <v>0.38176043688</v>
      </c>
      <c r="S40" s="275">
        <v>0.69335233492000004</v>
      </c>
      <c r="T40" s="275">
        <v>246.55976811063999</v>
      </c>
      <c r="U40" s="275">
        <v>22.376766730069999</v>
      </c>
      <c r="V40" s="88">
        <v>26</v>
      </c>
    </row>
    <row r="41" spans="2:22" ht="14" customHeight="1" x14ac:dyDescent="0.15">
      <c r="B41" s="2"/>
      <c r="C41" s="23" t="s">
        <v>238</v>
      </c>
      <c r="D41" s="324">
        <v>45495</v>
      </c>
      <c r="E41" s="325">
        <v>5.0739384220499995</v>
      </c>
      <c r="F41" s="325">
        <v>0.85494147092999995</v>
      </c>
      <c r="G41" s="325">
        <v>0.91243401974000005</v>
      </c>
      <c r="H41" s="325">
        <v>0.40055382951000001</v>
      </c>
      <c r="I41" s="275">
        <v>0.11330002692</v>
      </c>
      <c r="J41" s="275">
        <v>9.0929412010000002E-2</v>
      </c>
      <c r="K41" s="275">
        <v>0.22524961969999999</v>
      </c>
      <c r="L41" s="275">
        <v>3.2133705099999998E-3</v>
      </c>
      <c r="M41" s="275">
        <v>8.2632967700000004E-2</v>
      </c>
      <c r="N41" s="275">
        <v>0.13484671789999991</v>
      </c>
      <c r="O41" s="275">
        <v>4.0322194870699999</v>
      </c>
      <c r="P41" s="275">
        <v>0.73585449888999999</v>
      </c>
      <c r="Q41" s="275">
        <v>0.75941064319999996</v>
      </c>
      <c r="R41" s="275">
        <v>3.8148393759999996E-2</v>
      </c>
      <c r="S41" s="275">
        <v>6.1979307859999999E-2</v>
      </c>
      <c r="T41" s="275">
        <v>12.857909381580001</v>
      </c>
      <c r="U41" s="275">
        <v>3.1904043135700002</v>
      </c>
      <c r="V41" s="88">
        <v>27</v>
      </c>
    </row>
    <row r="42" spans="2:22" ht="14" customHeight="1" x14ac:dyDescent="0.15">
      <c r="B42" s="2"/>
      <c r="C42" s="23" t="s">
        <v>175</v>
      </c>
      <c r="D42" s="324">
        <v>10463</v>
      </c>
      <c r="E42" s="325">
        <v>0.60272698211999998</v>
      </c>
      <c r="F42" s="325">
        <v>9.7037794439999991E-2</v>
      </c>
      <c r="G42" s="325">
        <v>0.27952855424</v>
      </c>
      <c r="H42" s="325">
        <v>2.3068223040000002E-2</v>
      </c>
      <c r="I42" s="275">
        <v>1.020263616E-2</v>
      </c>
      <c r="J42" s="275">
        <v>7.36859987E-3</v>
      </c>
      <c r="K42" s="275">
        <v>2.0815322469999998E-2</v>
      </c>
      <c r="L42" s="275">
        <v>4.2517785799999997E-3</v>
      </c>
      <c r="M42" s="275">
        <v>4.5540318099999994E-3</v>
      </c>
      <c r="N42" s="275">
        <v>4.053819186999999E-2</v>
      </c>
      <c r="O42" s="275">
        <v>0.49637129807000002</v>
      </c>
      <c r="P42" s="275">
        <v>7.7310541959999993E-2</v>
      </c>
      <c r="Q42" s="275">
        <v>7.8413278729999994E-2</v>
      </c>
      <c r="R42" s="275">
        <v>6.2225411300000002E-3</v>
      </c>
      <c r="S42" s="275">
        <v>8.2370659900000004E-3</v>
      </c>
      <c r="T42" s="275">
        <v>4.0538919304899999</v>
      </c>
      <c r="U42" s="275">
        <v>0.25040786478999999</v>
      </c>
      <c r="V42" s="88">
        <v>28</v>
      </c>
    </row>
    <row r="43" spans="2:22" ht="14" customHeight="1" x14ac:dyDescent="0.15">
      <c r="B43" s="2"/>
      <c r="C43" s="23" t="s">
        <v>191</v>
      </c>
      <c r="D43" s="324">
        <v>18862</v>
      </c>
      <c r="E43" s="325">
        <v>1.3111571039600001</v>
      </c>
      <c r="F43" s="325">
        <v>0.20031743293999998</v>
      </c>
      <c r="G43" s="325">
        <v>0.32944128608000001</v>
      </c>
      <c r="H43" s="325">
        <v>8.4759266210000003E-2</v>
      </c>
      <c r="I43" s="275">
        <v>2.6286646319999999E-2</v>
      </c>
      <c r="J43" s="275">
        <v>1.8655021079999997E-2</v>
      </c>
      <c r="K43" s="275">
        <v>5.073080001E-2</v>
      </c>
      <c r="L43" s="275">
        <v>2.2516770699999998E-3</v>
      </c>
      <c r="M43" s="275">
        <v>1.0780405940000001E-2</v>
      </c>
      <c r="N43" s="275">
        <v>9.5810583469999988E-2</v>
      </c>
      <c r="O43" s="275">
        <v>1.0390033916500001</v>
      </c>
      <c r="P43" s="275">
        <v>0.14303023892</v>
      </c>
      <c r="Q43" s="275">
        <v>0.15015619226000002</v>
      </c>
      <c r="R43" s="275">
        <v>1.0765228769999999E-2</v>
      </c>
      <c r="S43" s="275">
        <v>1.8296976980000001E-2</v>
      </c>
      <c r="T43" s="275">
        <v>3.2484088281399996</v>
      </c>
      <c r="U43" s="275">
        <v>0.3320661499</v>
      </c>
      <c r="V43" s="88">
        <v>29</v>
      </c>
    </row>
    <row r="44" spans="2:22" ht="14" customHeight="1" x14ac:dyDescent="0.15">
      <c r="B44" s="2"/>
      <c r="C44" s="23" t="s">
        <v>260</v>
      </c>
      <c r="D44" s="324">
        <v>308946</v>
      </c>
      <c r="E44" s="325">
        <v>21.751807677149998</v>
      </c>
      <c r="F44" s="325">
        <v>3.1433907808599999</v>
      </c>
      <c r="G44" s="325">
        <v>6.1605255525700002</v>
      </c>
      <c r="H44" s="325">
        <v>0.99758670434999996</v>
      </c>
      <c r="I44" s="275">
        <v>0.38040933395999998</v>
      </c>
      <c r="J44" s="275">
        <v>0.33147813022000006</v>
      </c>
      <c r="K44" s="275">
        <v>0.6073600992999999</v>
      </c>
      <c r="L44" s="275">
        <v>3.4503041469999995E-2</v>
      </c>
      <c r="M44" s="275">
        <v>0.19281187642</v>
      </c>
      <c r="N44" s="275">
        <v>1.7840508841900005</v>
      </c>
      <c r="O44" s="275">
        <v>17.472743082480001</v>
      </c>
      <c r="P44" s="275">
        <v>2.4692427373200001</v>
      </c>
      <c r="Q44" s="275">
        <v>2.7326409762099999</v>
      </c>
      <c r="R44" s="275">
        <v>8.7938632949999984E-2</v>
      </c>
      <c r="S44" s="275">
        <v>0.35570478626000002</v>
      </c>
      <c r="T44" s="275">
        <v>57.920925943599997</v>
      </c>
      <c r="U44" s="275">
        <v>6.3210554621600004</v>
      </c>
      <c r="V44" s="88">
        <v>30</v>
      </c>
    </row>
    <row r="45" spans="2:22" ht="14" customHeight="1" x14ac:dyDescent="0.15">
      <c r="B45" s="2"/>
      <c r="C45" s="23" t="s">
        <v>229</v>
      </c>
      <c r="D45" s="324">
        <v>37688</v>
      </c>
      <c r="E45" s="325">
        <v>3.91614961391</v>
      </c>
      <c r="F45" s="325">
        <v>0.62932066900000005</v>
      </c>
      <c r="G45" s="325">
        <v>1.0495191692999999</v>
      </c>
      <c r="H45" s="325">
        <v>0.23419683309</v>
      </c>
      <c r="I45" s="275">
        <v>5.1667354679999999E-2</v>
      </c>
      <c r="J45" s="275">
        <v>4.1007823259999999E-2</v>
      </c>
      <c r="K45" s="275">
        <v>0.13386783338</v>
      </c>
      <c r="L45" s="275">
        <v>2.5180481800000003E-3</v>
      </c>
      <c r="M45" s="275">
        <v>4.1183997560000005E-2</v>
      </c>
      <c r="N45" s="275">
        <v>0.19174964789999993</v>
      </c>
      <c r="O45" s="275">
        <v>3.2287053230699998</v>
      </c>
      <c r="P45" s="275">
        <v>0.58504729988000004</v>
      </c>
      <c r="Q45" s="275">
        <v>0.61197625047999993</v>
      </c>
      <c r="R45" s="275">
        <v>2.7039539299999998E-2</v>
      </c>
      <c r="S45" s="275">
        <v>5.8042038660000003E-2</v>
      </c>
      <c r="T45" s="275">
        <v>12.71779058313</v>
      </c>
      <c r="U45" s="275">
        <v>1.0364844078300002</v>
      </c>
      <c r="V45" s="88">
        <v>31</v>
      </c>
    </row>
    <row r="46" spans="2:22" ht="14" customHeight="1" x14ac:dyDescent="0.15">
      <c r="B46" s="2"/>
      <c r="C46" s="23" t="s">
        <v>270</v>
      </c>
      <c r="D46" s="324">
        <v>483997</v>
      </c>
      <c r="E46" s="325">
        <v>48.406406152650007</v>
      </c>
      <c r="F46" s="325">
        <v>10.814673160949999</v>
      </c>
      <c r="G46" s="325">
        <v>26.563858079349998</v>
      </c>
      <c r="H46" s="325">
        <v>2.4433220013400003</v>
      </c>
      <c r="I46" s="275">
        <v>0.61975855572000005</v>
      </c>
      <c r="J46" s="275">
        <v>0.55787561043</v>
      </c>
      <c r="K46" s="275">
        <v>1.5817878036999999</v>
      </c>
      <c r="L46" s="275">
        <v>0.11295174384000001</v>
      </c>
      <c r="M46" s="275">
        <v>0.46899119982999993</v>
      </c>
      <c r="N46" s="275">
        <v>2.7525940691699997</v>
      </c>
      <c r="O46" s="275">
        <v>39.991753476680003</v>
      </c>
      <c r="P46" s="275">
        <v>7.1746757273900004</v>
      </c>
      <c r="Q46" s="275">
        <v>7.4424442554399999</v>
      </c>
      <c r="R46" s="275">
        <v>0.36372818768000004</v>
      </c>
      <c r="S46" s="275">
        <v>0.68657584265000005</v>
      </c>
      <c r="T46" s="275">
        <v>263.86705259535</v>
      </c>
      <c r="U46" s="275">
        <v>21.11860606211</v>
      </c>
      <c r="V46" s="88">
        <v>32</v>
      </c>
    </row>
    <row r="47" spans="2:22" ht="14" customHeight="1" x14ac:dyDescent="0.15">
      <c r="B47" s="2"/>
      <c r="C47" s="23" t="s">
        <v>210</v>
      </c>
      <c r="D47" s="324">
        <v>12056</v>
      </c>
      <c r="E47" s="325">
        <v>2.1148937495299998</v>
      </c>
      <c r="F47" s="325">
        <v>0.22392031601000001</v>
      </c>
      <c r="G47" s="325">
        <v>0.44363835648000005</v>
      </c>
      <c r="H47" s="325">
        <v>9.521734506E-2</v>
      </c>
      <c r="I47" s="275">
        <v>2.4051724199999999E-2</v>
      </c>
      <c r="J47" s="275">
        <v>2.162238922E-2</v>
      </c>
      <c r="K47" s="275">
        <v>6.1269732510000001E-2</v>
      </c>
      <c r="L47" s="275">
        <v>1.2521476699999998E-3</v>
      </c>
      <c r="M47" s="275">
        <v>5.4712117029999993E-2</v>
      </c>
      <c r="N47" s="275">
        <v>6.302581061000001E-2</v>
      </c>
      <c r="O47" s="275">
        <v>1.7947880650400001</v>
      </c>
      <c r="P47" s="275">
        <v>0.38902829809</v>
      </c>
      <c r="Q47" s="275">
        <v>0.40842798377</v>
      </c>
      <c r="R47" s="275">
        <v>9.6545642700000007E-3</v>
      </c>
      <c r="S47" s="275">
        <v>3.074197079E-2</v>
      </c>
      <c r="T47" s="275">
        <v>6.2701227937200006</v>
      </c>
      <c r="U47" s="275">
        <v>0.57913339719000001</v>
      </c>
      <c r="V47" s="88">
        <v>33</v>
      </c>
    </row>
    <row r="48" spans="2:22" ht="14" customHeight="1" x14ac:dyDescent="0.15">
      <c r="B48" s="2"/>
      <c r="C48" s="23" t="s">
        <v>216</v>
      </c>
      <c r="D48" s="324">
        <v>49903</v>
      </c>
      <c r="E48" s="325">
        <v>3.0928107195600001</v>
      </c>
      <c r="F48" s="325">
        <v>0.32348424505000001</v>
      </c>
      <c r="G48" s="325">
        <v>0.80311624069999998</v>
      </c>
      <c r="H48" s="325">
        <v>0.16368812879999997</v>
      </c>
      <c r="I48" s="275">
        <v>4.6943682719999998E-2</v>
      </c>
      <c r="J48" s="275">
        <v>4.1172891539999999E-2</v>
      </c>
      <c r="K48" s="275">
        <v>0.1301234785</v>
      </c>
      <c r="L48" s="275">
        <v>6.6091605499999997E-3</v>
      </c>
      <c r="M48" s="275">
        <v>1.453506724E-2</v>
      </c>
      <c r="N48" s="275">
        <v>0.24881085361000016</v>
      </c>
      <c r="O48" s="275">
        <v>2.4554453925799997</v>
      </c>
      <c r="P48" s="275">
        <v>0.31322209306999999</v>
      </c>
      <c r="Q48" s="275">
        <v>0.34403640550999998</v>
      </c>
      <c r="R48" s="275">
        <v>3.2284103830000001E-2</v>
      </c>
      <c r="S48" s="275">
        <v>6.3930165809999995E-2</v>
      </c>
      <c r="T48" s="275">
        <v>15.606743557729999</v>
      </c>
      <c r="U48" s="275">
        <v>0.78928538870999998</v>
      </c>
      <c r="V48" s="88">
        <v>34</v>
      </c>
    </row>
    <row r="49" spans="2:22" ht="14" customHeight="1" x14ac:dyDescent="0.15">
      <c r="B49" s="2"/>
      <c r="C49" s="23" t="s">
        <v>224</v>
      </c>
      <c r="D49" s="324">
        <v>35690</v>
      </c>
      <c r="E49" s="325">
        <v>3.3289910425999998</v>
      </c>
      <c r="F49" s="325">
        <v>0.50626686955</v>
      </c>
      <c r="G49" s="325">
        <v>1.3557294367400001</v>
      </c>
      <c r="H49" s="325">
        <v>0.18802932768</v>
      </c>
      <c r="I49" s="275">
        <v>5.8592930520000003E-2</v>
      </c>
      <c r="J49" s="275">
        <v>4.4072957590000003E-2</v>
      </c>
      <c r="K49" s="275">
        <v>0.13330309553</v>
      </c>
      <c r="L49" s="275">
        <v>7.1314215199999994E-3</v>
      </c>
      <c r="M49" s="275">
        <v>3.7007613269999996E-2</v>
      </c>
      <c r="N49" s="275">
        <v>0.16334803365999995</v>
      </c>
      <c r="O49" s="275">
        <v>2.7031311746000002</v>
      </c>
      <c r="P49" s="275">
        <v>0.46156033030999993</v>
      </c>
      <c r="Q49" s="275">
        <v>0.46976079827</v>
      </c>
      <c r="R49" s="275">
        <v>3.6796518469999998E-2</v>
      </c>
      <c r="S49" s="275">
        <v>4.5866800860000001E-2</v>
      </c>
      <c r="T49" s="275">
        <v>15.012552803569999</v>
      </c>
      <c r="U49" s="275">
        <v>1.4222507417100001</v>
      </c>
      <c r="V49" s="88">
        <v>35</v>
      </c>
    </row>
    <row r="50" spans="2:22" ht="14" customHeight="1" x14ac:dyDescent="0.15">
      <c r="B50" s="2"/>
      <c r="C50" s="23" t="s">
        <v>179</v>
      </c>
      <c r="D50" s="324">
        <v>20796</v>
      </c>
      <c r="E50" s="325">
        <v>0.75688015356000005</v>
      </c>
      <c r="F50" s="325">
        <v>6.0553248940000005E-2</v>
      </c>
      <c r="G50" s="325">
        <v>0.19226714408000001</v>
      </c>
      <c r="H50" s="325">
        <v>2.476888859E-2</v>
      </c>
      <c r="I50" s="275">
        <v>1.2912195480000001E-2</v>
      </c>
      <c r="J50" s="275">
        <v>9.7503859299999992E-3</v>
      </c>
      <c r="K50" s="275">
        <v>2.18222364E-2</v>
      </c>
      <c r="L50" s="275">
        <v>7.3518819900000006E-3</v>
      </c>
      <c r="M50" s="275">
        <v>4.828535210000001E-3</v>
      </c>
      <c r="N50" s="275">
        <v>8.8979717169999986E-2</v>
      </c>
      <c r="O50" s="275">
        <v>0.58830897739999999</v>
      </c>
      <c r="P50" s="275">
        <v>3.8077093919999999E-2</v>
      </c>
      <c r="Q50" s="275">
        <v>3.6931097270000005E-2</v>
      </c>
      <c r="R50" s="275">
        <v>6.9158103100000002E-3</v>
      </c>
      <c r="S50" s="275">
        <v>6.5171873500000001E-3</v>
      </c>
      <c r="T50" s="275">
        <v>2.1312454159100001</v>
      </c>
      <c r="U50" s="275">
        <v>0.30256195399999997</v>
      </c>
      <c r="V50" s="88">
        <v>36</v>
      </c>
    </row>
    <row r="51" spans="2:22" ht="14" customHeight="1" x14ac:dyDescent="0.15">
      <c r="B51" s="2"/>
      <c r="C51" s="23" t="s">
        <v>272</v>
      </c>
      <c r="D51" s="324">
        <v>318427</v>
      </c>
      <c r="E51" s="325">
        <v>54.109543282290005</v>
      </c>
      <c r="F51" s="325">
        <v>5.7651199581599997</v>
      </c>
      <c r="G51" s="325">
        <v>28.88203833311</v>
      </c>
      <c r="H51" s="325">
        <v>3.3083176327200001</v>
      </c>
      <c r="I51" s="275">
        <v>0.47357648904000005</v>
      </c>
      <c r="J51" s="275">
        <v>0.46941221175999998</v>
      </c>
      <c r="K51" s="275">
        <v>2.0340512670599997</v>
      </c>
      <c r="L51" s="275">
        <v>3.1783691487199999</v>
      </c>
      <c r="M51" s="275">
        <v>0.63596926996000003</v>
      </c>
      <c r="N51" s="275">
        <v>1.1028603206499987</v>
      </c>
      <c r="O51" s="275">
        <v>42.980416079950004</v>
      </c>
      <c r="P51" s="275">
        <v>9.117700716509999</v>
      </c>
      <c r="Q51" s="275">
        <v>7.8486151029999993</v>
      </c>
      <c r="R51" s="275">
        <v>1.64870204144</v>
      </c>
      <c r="S51" s="275">
        <v>0.40744438452999998</v>
      </c>
      <c r="T51" s="275">
        <v>215.32308054317002</v>
      </c>
      <c r="U51" s="275">
        <v>17.299619917500003</v>
      </c>
      <c r="V51" s="88">
        <v>37</v>
      </c>
    </row>
    <row r="52" spans="2:22" ht="14" customHeight="1" x14ac:dyDescent="0.15">
      <c r="B52" s="2"/>
      <c r="C52" s="23" t="s">
        <v>252</v>
      </c>
      <c r="D52" s="324">
        <v>184635</v>
      </c>
      <c r="E52" s="325">
        <v>12.84643194465</v>
      </c>
      <c r="F52" s="325">
        <v>0.84887373958000012</v>
      </c>
      <c r="G52" s="325">
        <v>3.4583141962699999</v>
      </c>
      <c r="H52" s="325">
        <v>0.53234994318000006</v>
      </c>
      <c r="I52" s="275">
        <v>0.18009592644</v>
      </c>
      <c r="J52" s="275">
        <v>0.18307695740000002</v>
      </c>
      <c r="K52" s="275">
        <v>0.52882215907999996</v>
      </c>
      <c r="L52" s="275">
        <v>2.9212749521100001</v>
      </c>
      <c r="M52" s="275">
        <v>7.5122275719999992E-2</v>
      </c>
      <c r="N52" s="275">
        <v>0.64024967905000096</v>
      </c>
      <c r="O52" s="275">
        <v>7.8033627328800002</v>
      </c>
      <c r="P52" s="275">
        <v>0.8136853340300001</v>
      </c>
      <c r="Q52" s="275">
        <v>0.65175944281999998</v>
      </c>
      <c r="R52" s="275">
        <v>0.22485635499000001</v>
      </c>
      <c r="S52" s="275">
        <v>8.7373885780000007E-2</v>
      </c>
      <c r="T52" s="275">
        <v>45.981477609739997</v>
      </c>
      <c r="U52" s="275">
        <v>4.5085953343199998</v>
      </c>
      <c r="V52" s="88">
        <v>38</v>
      </c>
    </row>
    <row r="53" spans="2:22" ht="14" customHeight="1" x14ac:dyDescent="0.15">
      <c r="B53" s="2"/>
      <c r="C53" s="23" t="s">
        <v>257</v>
      </c>
      <c r="D53" s="324">
        <v>351655</v>
      </c>
      <c r="E53" s="325">
        <v>19.540464952680001</v>
      </c>
      <c r="F53" s="325">
        <v>1.6296840644200001</v>
      </c>
      <c r="G53" s="325">
        <v>2.4076136930200001</v>
      </c>
      <c r="H53" s="325">
        <v>0.98200162387000001</v>
      </c>
      <c r="I53" s="275">
        <v>0.39934942188</v>
      </c>
      <c r="J53" s="275">
        <v>0.36510619800999999</v>
      </c>
      <c r="K53" s="275">
        <v>0.83075643264999999</v>
      </c>
      <c r="L53" s="275">
        <v>2.3312578269999999E-2</v>
      </c>
      <c r="M53" s="275">
        <v>5.9928855330000003E-2</v>
      </c>
      <c r="N53" s="275">
        <v>1.7848508884200003</v>
      </c>
      <c r="O53" s="275">
        <v>15.17135748097</v>
      </c>
      <c r="P53" s="275">
        <v>1.5490192443000002</v>
      </c>
      <c r="Q53" s="275">
        <v>1.5087535535600001</v>
      </c>
      <c r="R53" s="275">
        <v>0.27730530564</v>
      </c>
      <c r="S53" s="275">
        <v>0.23935346632999999</v>
      </c>
      <c r="T53" s="275">
        <v>29.967659929740002</v>
      </c>
      <c r="U53" s="275">
        <v>4.2988860554099997</v>
      </c>
      <c r="V53" s="88">
        <v>39</v>
      </c>
    </row>
    <row r="54" spans="2:22" ht="14" customHeight="1" x14ac:dyDescent="0.15">
      <c r="B54" s="2"/>
      <c r="C54" s="23" t="s">
        <v>213</v>
      </c>
      <c r="D54" s="324">
        <v>42367</v>
      </c>
      <c r="E54" s="325">
        <v>2.5878410752600001</v>
      </c>
      <c r="F54" s="325">
        <v>0.28297247730999997</v>
      </c>
      <c r="G54" s="325">
        <v>0.97989393509</v>
      </c>
      <c r="H54" s="325">
        <v>0.12929601357999998</v>
      </c>
      <c r="I54" s="275">
        <v>4.0835308319999999E-2</v>
      </c>
      <c r="J54" s="275">
        <v>3.3380953470000002E-2</v>
      </c>
      <c r="K54" s="275">
        <v>0.10009818529</v>
      </c>
      <c r="L54" s="275">
        <v>4.5380184409999996E-2</v>
      </c>
      <c r="M54" s="275">
        <v>2.3090017880000001E-2</v>
      </c>
      <c r="N54" s="275">
        <v>0.19574196339999994</v>
      </c>
      <c r="O54" s="275">
        <v>2.0267195469499999</v>
      </c>
      <c r="P54" s="275">
        <v>0.26293459432999999</v>
      </c>
      <c r="Q54" s="275">
        <v>0.26839339552999997</v>
      </c>
      <c r="R54" s="275">
        <v>2.5289671069999999E-2</v>
      </c>
      <c r="S54" s="275">
        <v>3.3493719960000001E-2</v>
      </c>
      <c r="T54" s="275">
        <v>10.476812636409999</v>
      </c>
      <c r="U54" s="275">
        <v>1.2353473261699999</v>
      </c>
      <c r="V54" s="88">
        <v>40</v>
      </c>
    </row>
    <row r="55" spans="2:22" ht="14" customHeight="1" x14ac:dyDescent="0.15">
      <c r="B55" s="2"/>
      <c r="C55" s="23" t="s">
        <v>233</v>
      </c>
      <c r="D55" s="324">
        <v>126199</v>
      </c>
      <c r="E55" s="325">
        <v>4.99718207986</v>
      </c>
      <c r="F55" s="325">
        <v>0.38953863013000001</v>
      </c>
      <c r="G55" s="325">
        <v>1.5512241335399999</v>
      </c>
      <c r="H55" s="325">
        <v>0.18045307834000002</v>
      </c>
      <c r="I55" s="275">
        <v>7.3517175000000004E-2</v>
      </c>
      <c r="J55" s="275">
        <v>7.4574088910000003E-2</v>
      </c>
      <c r="K55" s="275">
        <v>0.20824539981000001</v>
      </c>
      <c r="L55" s="275">
        <v>0.16859719961000003</v>
      </c>
      <c r="M55" s="275">
        <v>1.0433534539999999E-2</v>
      </c>
      <c r="N55" s="275">
        <v>0.53165817498000001</v>
      </c>
      <c r="O55" s="275">
        <v>3.7641086454299999</v>
      </c>
      <c r="P55" s="275">
        <v>0.24918490469999999</v>
      </c>
      <c r="Q55" s="275">
        <v>0.21440153878000001</v>
      </c>
      <c r="R55" s="275">
        <v>6.6195972339999992E-2</v>
      </c>
      <c r="S55" s="275">
        <v>3.7408978799999999E-2</v>
      </c>
      <c r="T55" s="275">
        <v>14.12334789769</v>
      </c>
      <c r="U55" s="275">
        <v>2.0428256725300002</v>
      </c>
      <c r="V55" s="88">
        <v>41</v>
      </c>
    </row>
    <row r="56" spans="2:22" ht="14" customHeight="1" x14ac:dyDescent="0.15">
      <c r="B56" s="2"/>
      <c r="C56" s="23" t="s">
        <v>258</v>
      </c>
      <c r="D56" s="324">
        <v>312183</v>
      </c>
      <c r="E56" s="325">
        <v>18.13302117784</v>
      </c>
      <c r="F56" s="325">
        <v>3.5985628383499999</v>
      </c>
      <c r="G56" s="325">
        <v>19.694636607200003</v>
      </c>
      <c r="H56" s="325">
        <v>0.66997645926000005</v>
      </c>
      <c r="I56" s="275">
        <v>0.22986473231999999</v>
      </c>
      <c r="J56" s="275">
        <v>0.19553953388999998</v>
      </c>
      <c r="K56" s="275">
        <v>0.72094229292000001</v>
      </c>
      <c r="L56" s="275">
        <v>0.62837506376999996</v>
      </c>
      <c r="M56" s="275">
        <v>0.14691078409</v>
      </c>
      <c r="N56" s="275">
        <v>1.3880214765500001</v>
      </c>
      <c r="O56" s="275">
        <v>14.246587066010001</v>
      </c>
      <c r="P56" s="275">
        <v>1.9621860947299998</v>
      </c>
      <c r="Q56" s="275">
        <v>1.6569766422299999</v>
      </c>
      <c r="R56" s="275">
        <v>0.42188950868999997</v>
      </c>
      <c r="S56" s="275">
        <v>0.18009180016999998</v>
      </c>
      <c r="T56" s="275">
        <v>145.34019667612</v>
      </c>
      <c r="U56" s="275">
        <v>12.968147451419998</v>
      </c>
      <c r="V56" s="88">
        <v>42</v>
      </c>
    </row>
    <row r="57" spans="2:22" ht="14" customHeight="1" x14ac:dyDescent="0.15">
      <c r="B57" s="2"/>
      <c r="C57" s="23" t="s">
        <v>172</v>
      </c>
      <c r="D57" s="324">
        <v>6196</v>
      </c>
      <c r="E57" s="325">
        <v>0.46462405628999998</v>
      </c>
      <c r="F57" s="325">
        <v>6.5523006369999998E-2</v>
      </c>
      <c r="G57" s="325">
        <v>0.17856931454000002</v>
      </c>
      <c r="H57" s="325">
        <v>2.3893842160000005E-2</v>
      </c>
      <c r="I57" s="275">
        <v>5.2168819200000003E-3</v>
      </c>
      <c r="J57" s="275">
        <v>4.2878242599999998E-3</v>
      </c>
      <c r="K57" s="275">
        <v>2.2843738570000001E-2</v>
      </c>
      <c r="L57" s="275">
        <v>1.6676411599999999E-3</v>
      </c>
      <c r="M57" s="275">
        <v>3.0707156100000001E-3</v>
      </c>
      <c r="N57" s="275">
        <v>3.0807516549999997E-2</v>
      </c>
      <c r="O57" s="275">
        <v>0.37380695682999998</v>
      </c>
      <c r="P57" s="275">
        <v>5.6730546690000008E-2</v>
      </c>
      <c r="Q57" s="275">
        <v>5.741298635E-2</v>
      </c>
      <c r="R57" s="275">
        <v>5.77817283E-3</v>
      </c>
      <c r="S57" s="275">
        <v>6.6453703099999999E-3</v>
      </c>
      <c r="T57" s="275">
        <v>1.5734336676599998</v>
      </c>
      <c r="U57" s="275">
        <v>0.11657904480999999</v>
      </c>
      <c r="V57" s="88">
        <v>43</v>
      </c>
    </row>
    <row r="58" spans="2:22" ht="14" customHeight="1" x14ac:dyDescent="0.15">
      <c r="B58" s="2"/>
      <c r="C58" s="23" t="s">
        <v>152</v>
      </c>
      <c r="D58" s="324">
        <v>1268</v>
      </c>
      <c r="E58" s="325">
        <v>9.3937857640000011E-2</v>
      </c>
      <c r="F58" s="325">
        <v>1.0686638139999999E-2</v>
      </c>
      <c r="G58" s="325">
        <v>3.357721852E-2</v>
      </c>
      <c r="H58" s="325">
        <v>5.0482028200000001E-3</v>
      </c>
      <c r="I58" s="275">
        <v>1.0957928400000001E-3</v>
      </c>
      <c r="J58" s="275">
        <v>8.2784952000000006E-4</v>
      </c>
      <c r="K58" s="275">
        <v>4.1978970300000007E-3</v>
      </c>
      <c r="L58" s="275">
        <v>3.4311559000000004E-4</v>
      </c>
      <c r="M58" s="275">
        <v>4.5073821999999999E-4</v>
      </c>
      <c r="N58" s="275">
        <v>6.1637137300000009E-3</v>
      </c>
      <c r="O58" s="275">
        <v>7.5925842600000001E-2</v>
      </c>
      <c r="P58" s="275">
        <v>1.181640479E-2</v>
      </c>
      <c r="Q58" s="275">
        <v>1.257485216E-2</v>
      </c>
      <c r="R58" s="275">
        <v>8.3421826999999997E-4</v>
      </c>
      <c r="S58" s="275">
        <v>1.63030362E-3</v>
      </c>
      <c r="T58" s="275">
        <v>0.25127676201000004</v>
      </c>
      <c r="U58" s="275">
        <v>2.629767446E-2</v>
      </c>
      <c r="V58" s="88">
        <v>44</v>
      </c>
    </row>
    <row r="59" spans="2:22" ht="14" customHeight="1" x14ac:dyDescent="0.15">
      <c r="B59" s="2"/>
      <c r="C59" s="23" t="s">
        <v>268</v>
      </c>
      <c r="D59" s="324">
        <v>409768</v>
      </c>
      <c r="E59" s="325">
        <v>30.852435535520002</v>
      </c>
      <c r="F59" s="325">
        <v>7.2263472901799997</v>
      </c>
      <c r="G59" s="325">
        <v>15.533494863510001</v>
      </c>
      <c r="H59" s="325">
        <v>1.58843686771</v>
      </c>
      <c r="I59" s="275">
        <v>0.51346252295999995</v>
      </c>
      <c r="J59" s="275">
        <v>0.45609935246</v>
      </c>
      <c r="K59" s="275">
        <v>1.1365540919999999</v>
      </c>
      <c r="L59" s="275">
        <v>0.35294157968000001</v>
      </c>
      <c r="M59" s="275">
        <v>0.26166682588000001</v>
      </c>
      <c r="N59" s="275">
        <v>1.9462762058900003</v>
      </c>
      <c r="O59" s="275">
        <v>24.676992556690003</v>
      </c>
      <c r="P59" s="275">
        <v>3.7892567456100004</v>
      </c>
      <c r="Q59" s="275">
        <v>3.9685929612499997</v>
      </c>
      <c r="R59" s="275">
        <v>0.22701494496999997</v>
      </c>
      <c r="S59" s="275">
        <v>0.42671713074999995</v>
      </c>
      <c r="T59" s="275">
        <v>155.10273110891001</v>
      </c>
      <c r="U59" s="275">
        <v>15.628220247489999</v>
      </c>
      <c r="V59" s="88">
        <v>45</v>
      </c>
    </row>
    <row r="60" spans="2:22" ht="14" customHeight="1" x14ac:dyDescent="0.15">
      <c r="B60" s="2"/>
      <c r="C60" s="23" t="s">
        <v>231</v>
      </c>
      <c r="D60" s="324">
        <v>70317</v>
      </c>
      <c r="E60" s="325">
        <v>4.3010418391999998</v>
      </c>
      <c r="F60" s="325">
        <v>1.0386454139499999</v>
      </c>
      <c r="G60" s="325">
        <v>2.55777936952</v>
      </c>
      <c r="H60" s="325">
        <v>0.14573361889</v>
      </c>
      <c r="I60" s="275">
        <v>4.4607642240000002E-2</v>
      </c>
      <c r="J60" s="275">
        <v>4.7923985270000004E-2</v>
      </c>
      <c r="K60" s="275">
        <v>0.11261490212</v>
      </c>
      <c r="L60" s="275">
        <v>1.4300351230000001E-2</v>
      </c>
      <c r="M60" s="275">
        <v>2.1232601810000001E-2</v>
      </c>
      <c r="N60" s="275">
        <v>0.40043886261000006</v>
      </c>
      <c r="O60" s="275">
        <v>3.5355444400599998</v>
      </c>
      <c r="P60" s="275">
        <v>0.50016417251</v>
      </c>
      <c r="Q60" s="275">
        <v>0.54894918591999997</v>
      </c>
      <c r="R60" s="275">
        <v>1.9973512190000001E-2</v>
      </c>
      <c r="S60" s="275">
        <v>7.1996922480000003E-2</v>
      </c>
      <c r="T60" s="275">
        <v>19.520277657119998</v>
      </c>
      <c r="U60" s="275">
        <v>2.0864608179499999</v>
      </c>
      <c r="V60" s="88">
        <v>46</v>
      </c>
    </row>
    <row r="61" spans="2:22" ht="14" customHeight="1" x14ac:dyDescent="0.15">
      <c r="B61" s="2"/>
      <c r="C61" s="23" t="s">
        <v>234</v>
      </c>
      <c r="D61" s="324">
        <v>94994</v>
      </c>
      <c r="E61" s="325">
        <v>4.8417350592900004</v>
      </c>
      <c r="F61" s="325">
        <v>0.73995854705000008</v>
      </c>
      <c r="G61" s="325">
        <v>2.0031575242400002</v>
      </c>
      <c r="H61" s="325">
        <v>0.19930520105999999</v>
      </c>
      <c r="I61" s="275">
        <v>6.0326388119999998E-2</v>
      </c>
      <c r="J61" s="275">
        <v>6.2915396700000001E-2</v>
      </c>
      <c r="K61" s="275">
        <v>0.24682256111</v>
      </c>
      <c r="L61" s="275">
        <v>0.16650874522999998</v>
      </c>
      <c r="M61" s="275">
        <v>8.5974799799999994E-3</v>
      </c>
      <c r="N61" s="275">
        <v>0.42445680932999996</v>
      </c>
      <c r="O61" s="275">
        <v>3.6901528140200002</v>
      </c>
      <c r="P61" s="275">
        <v>0.36928690764</v>
      </c>
      <c r="Q61" s="275">
        <v>0.34499299574999998</v>
      </c>
      <c r="R61" s="275">
        <v>6.5706185740000006E-2</v>
      </c>
      <c r="S61" s="275">
        <v>5.1970580360000004E-2</v>
      </c>
      <c r="T61" s="275">
        <v>19.38365387652</v>
      </c>
      <c r="U61" s="275">
        <v>1.6870042442199999</v>
      </c>
      <c r="V61" s="88">
        <v>47</v>
      </c>
    </row>
    <row r="62" spans="2:22" x14ac:dyDescent="0.15">
      <c r="B62" s="2"/>
      <c r="C62" s="52"/>
      <c r="D62" s="53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22"/>
    </row>
    <row r="63" spans="2:22" x14ac:dyDescent="0.15">
      <c r="B63" s="2"/>
      <c r="C63" s="48" t="s">
        <v>24</v>
      </c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22"/>
    </row>
    <row r="64" spans="2:22" ht="14" thickBot="1" x14ac:dyDescent="0.2">
      <c r="B64" s="28"/>
      <c r="C64" s="38"/>
      <c r="D64" s="45"/>
      <c r="E64" s="43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27"/>
    </row>
    <row r="65" spans="3:21" x14ac:dyDescent="0.15">
      <c r="C65" s="9"/>
      <c r="E65" s="42"/>
      <c r="F65" s="41"/>
      <c r="J65" s="41" t="s">
        <v>538</v>
      </c>
      <c r="K65" s="422" t="s">
        <v>529</v>
      </c>
      <c r="L65" s="424" t="s">
        <v>530</v>
      </c>
      <c r="M65" s="426" t="s">
        <v>531</v>
      </c>
      <c r="N65" s="430" t="s">
        <v>532</v>
      </c>
      <c r="O65" s="428" t="s">
        <v>533</v>
      </c>
      <c r="P65" s="432" t="s">
        <v>534</v>
      </c>
      <c r="Q65" s="434" t="s">
        <v>535</v>
      </c>
      <c r="R65" s="436" t="s">
        <v>536</v>
      </c>
      <c r="S65" s="438" t="s">
        <v>537</v>
      </c>
      <c r="T65" s="41"/>
      <c r="U65" s="41"/>
    </row>
    <row r="66" spans="3:21" x14ac:dyDescent="0.15">
      <c r="D66" s="1" t="s">
        <v>527</v>
      </c>
      <c r="E66" s="1" t="s">
        <v>526</v>
      </c>
      <c r="F66" s="1" t="s">
        <v>540</v>
      </c>
      <c r="G66" s="1" t="s">
        <v>541</v>
      </c>
      <c r="H66" s="1" t="s">
        <v>542</v>
      </c>
      <c r="I66" s="1" t="s">
        <v>551</v>
      </c>
      <c r="J66" s="1">
        <v>2013</v>
      </c>
      <c r="K66" s="423">
        <v>7118.3936999999996</v>
      </c>
      <c r="L66" s="425">
        <v>27981.66</v>
      </c>
      <c r="M66" s="427">
        <v>43020.105000000003</v>
      </c>
      <c r="N66" s="431">
        <v>77296.456000000006</v>
      </c>
      <c r="O66" s="429">
        <v>241932.14</v>
      </c>
      <c r="P66" s="433">
        <v>358683.78</v>
      </c>
      <c r="Q66" s="435">
        <v>920850.79</v>
      </c>
      <c r="R66" s="437">
        <v>1454392.1</v>
      </c>
      <c r="S66" s="439">
        <v>4313183.2</v>
      </c>
    </row>
    <row r="67" spans="3:21" x14ac:dyDescent="0.15">
      <c r="C67" s="1" t="s">
        <v>275</v>
      </c>
      <c r="D67" s="78">
        <f>D14</f>
        <v>4833522</v>
      </c>
      <c r="E67" s="78">
        <f>((E14+F14+G14-L14)/D14)*1000000000</f>
        <v>47306.087413120287</v>
      </c>
      <c r="F67" s="177">
        <f>(G14/($E14+$F14+$G14))</f>
        <v>0.25464169733826936</v>
      </c>
      <c r="G67" s="177">
        <f>(F14/($E14+$F14+$G14))</f>
        <v>7.9106418616965268E-2</v>
      </c>
      <c r="H67" s="177">
        <f>G14/P43_T14!$G$62</f>
        <v>9.2557669548765611E-2</v>
      </c>
      <c r="I67" s="177">
        <f>F14/P43_T14!$F$62</f>
        <v>8.7659975380490932E-2</v>
      </c>
    </row>
    <row r="68" spans="3:21" x14ac:dyDescent="0.15">
      <c r="C68" s="440" t="s">
        <v>223</v>
      </c>
      <c r="D68" s="431">
        <f t="shared" ref="D68:D114" si="0">D15</f>
        <v>44973</v>
      </c>
      <c r="E68" s="431">
        <f>((E15+F15+G15-L15)/D15)*1000000000</f>
        <v>88947.63083917016</v>
      </c>
      <c r="F68" s="177">
        <f t="shared" ref="F68:F114" si="1">(G15/($E15+$F15+$G15))</f>
        <v>0.14807806818233801</v>
      </c>
      <c r="G68" s="177">
        <f t="shared" ref="G68:G114" si="2">(F15/($E15+$F15+$G15))</f>
        <v>6.4693382648542727E-2</v>
      </c>
      <c r="H68" s="177">
        <f>G15/P43_T14!$G$62</f>
        <v>9.3896130895512232E-4</v>
      </c>
      <c r="I68" s="177">
        <f>F15/P43_T14!$F$62</f>
        <v>1.2506147520766229E-3</v>
      </c>
    </row>
    <row r="69" spans="3:21" x14ac:dyDescent="0.15">
      <c r="C69" s="440" t="s">
        <v>247</v>
      </c>
      <c r="D69" s="431">
        <f t="shared" si="0"/>
        <v>104288</v>
      </c>
      <c r="E69" s="431">
        <f t="shared" ref="E69:E114" si="3">((E16+F16+G16-L16)/D16)*1000000000</f>
        <v>81181.23690635548</v>
      </c>
      <c r="F69" s="177">
        <f t="shared" si="1"/>
        <v>0.11479670909894103</v>
      </c>
      <c r="G69" s="177">
        <f t="shared" si="2"/>
        <v>6.3825866322896233E-2</v>
      </c>
      <c r="H69" s="177">
        <f>G16/P43_T14!$G$62</f>
        <v>1.5387767472907498E-3</v>
      </c>
      <c r="I69" s="177">
        <f>F16/P43_T14!$F$62</f>
        <v>2.6082524586690894E-3</v>
      </c>
    </row>
    <row r="70" spans="3:21" x14ac:dyDescent="0.15">
      <c r="C70" s="440" t="s">
        <v>227</v>
      </c>
      <c r="D70" s="431">
        <f t="shared" si="0"/>
        <v>59194</v>
      </c>
      <c r="E70" s="431">
        <f t="shared" si="3"/>
        <v>81146.962757205125</v>
      </c>
      <c r="F70" s="177">
        <f t="shared" si="1"/>
        <v>0.15031165064683935</v>
      </c>
      <c r="G70" s="177">
        <f t="shared" si="2"/>
        <v>6.4135022064491898E-2</v>
      </c>
      <c r="H70" s="177">
        <f>G17/P43_T14!$G$62</f>
        <v>1.1427313648471184E-3</v>
      </c>
      <c r="I70" s="177">
        <f>F17/P43_T14!$F$62</f>
        <v>1.4864608747197972E-3</v>
      </c>
      <c r="K70" s="1" t="s">
        <v>545</v>
      </c>
    </row>
    <row r="71" spans="3:21" x14ac:dyDescent="0.15">
      <c r="C71" s="441" t="s">
        <v>262</v>
      </c>
      <c r="D71" s="427">
        <f t="shared" si="0"/>
        <v>435277</v>
      </c>
      <c r="E71" s="427">
        <f t="shared" si="3"/>
        <v>60780.622458733174</v>
      </c>
      <c r="F71" s="177">
        <f>(G18/($E18+$F18+$G18))</f>
        <v>5.6734857896162304E-2</v>
      </c>
      <c r="G71" s="177">
        <f t="shared" si="2"/>
        <v>6.6513504213467772E-2</v>
      </c>
      <c r="H71" s="177">
        <f>G18/P43_T14!$G$62</f>
        <v>2.3755101713430152E-3</v>
      </c>
      <c r="I71" s="177">
        <f>F18/P43_T14!$F$62</f>
        <v>8.4903087213357188E-3</v>
      </c>
      <c r="K71" s="1" t="s">
        <v>547</v>
      </c>
    </row>
    <row r="72" spans="3:21" x14ac:dyDescent="0.15">
      <c r="C72" s="441" t="s">
        <v>225</v>
      </c>
      <c r="D72" s="427">
        <f t="shared" si="0"/>
        <v>63597</v>
      </c>
      <c r="E72" s="427">
        <f t="shared" si="3"/>
        <v>72068.736312090186</v>
      </c>
      <c r="F72" s="177">
        <f t="shared" si="1"/>
        <v>5.496176775612556E-2</v>
      </c>
      <c r="G72" s="177">
        <f t="shared" si="2"/>
        <v>6.3782544571452354E-2</v>
      </c>
      <c r="H72" s="177">
        <f>G19/P43_T14!$G$62</f>
        <v>3.9887970816919607E-4</v>
      </c>
      <c r="I72" s="177">
        <f>F19/P43_T14!$F$62</f>
        <v>1.4112040766236711E-3</v>
      </c>
      <c r="K72" s="1" t="s">
        <v>549</v>
      </c>
    </row>
    <row r="73" spans="3:21" x14ac:dyDescent="0.15">
      <c r="C73" s="440" t="s">
        <v>178</v>
      </c>
      <c r="D73" s="431">
        <f t="shared" si="0"/>
        <v>8549</v>
      </c>
      <c r="E73" s="431">
        <f t="shared" si="3"/>
        <v>136216.53355363201</v>
      </c>
      <c r="F73" s="461">
        <f t="shared" si="1"/>
        <v>0.2219129917338922</v>
      </c>
      <c r="G73" s="177">
        <f t="shared" si="2"/>
        <v>4.2922225157347581E-2</v>
      </c>
      <c r="H73" s="177">
        <f>G20/P43_T14!$G$62</f>
        <v>4.0934075431389456E-4</v>
      </c>
      <c r="I73" s="177">
        <f>F20/P43_T14!$F$62</f>
        <v>2.4137440481078988E-4</v>
      </c>
      <c r="K73" s="1" t="s">
        <v>546</v>
      </c>
    </row>
    <row r="74" spans="3:21" x14ac:dyDescent="0.15">
      <c r="C74" s="443" t="s">
        <v>242</v>
      </c>
      <c r="D74" s="433">
        <f t="shared" si="0"/>
        <v>20330</v>
      </c>
      <c r="E74" s="433">
        <f t="shared" si="3"/>
        <v>488920.0113330055</v>
      </c>
      <c r="F74" s="462">
        <f t="shared" si="1"/>
        <v>0.28434521851366862</v>
      </c>
      <c r="G74" s="177">
        <f t="shared" si="2"/>
        <v>0.10141693145166698</v>
      </c>
      <c r="H74" s="177">
        <f>G21/P43_T14!$G$62</f>
        <v>4.4734322364219231E-3</v>
      </c>
      <c r="I74" s="177">
        <f>F21/P43_T14!$F$62</f>
        <v>4.8642079122749151E-3</v>
      </c>
      <c r="K74" s="1" t="s">
        <v>548</v>
      </c>
    </row>
    <row r="75" spans="3:21" x14ac:dyDescent="0.15">
      <c r="C75" s="440" t="s">
        <v>206</v>
      </c>
      <c r="D75" s="431">
        <f t="shared" si="0"/>
        <v>37105</v>
      </c>
      <c r="E75" s="431">
        <f t="shared" si="3"/>
        <v>89756.704402641175</v>
      </c>
      <c r="F75" s="177">
        <f t="shared" si="1"/>
        <v>0.17050982291012837</v>
      </c>
      <c r="G75" s="177">
        <f t="shared" si="2"/>
        <v>4.1232676673795682E-2</v>
      </c>
      <c r="H75" s="177">
        <f>G22/P43_T14!$G$62</f>
        <v>9.005066941967536E-4</v>
      </c>
      <c r="I75" s="177">
        <f>F22/P43_T14!$F$62</f>
        <v>6.6387421545736458E-4</v>
      </c>
      <c r="K75" s="1" t="s">
        <v>546</v>
      </c>
    </row>
    <row r="76" spans="3:21" x14ac:dyDescent="0.15">
      <c r="C76" s="443" t="s">
        <v>232</v>
      </c>
      <c r="D76" s="433">
        <f t="shared" si="0"/>
        <v>13665</v>
      </c>
      <c r="E76" s="433">
        <f t="shared" si="3"/>
        <v>497038.97471496521</v>
      </c>
      <c r="F76" s="462">
        <f t="shared" si="1"/>
        <v>0.27216308302064413</v>
      </c>
      <c r="G76" s="177">
        <f t="shared" si="2"/>
        <v>9.810626682768811E-2</v>
      </c>
      <c r="H76" s="177">
        <f>G23/P43_T14!$G$62</f>
        <v>2.9275427219232729E-3</v>
      </c>
      <c r="I76" s="177">
        <f>F23/P43_T14!$F$62</f>
        <v>3.2171958963832501E-3</v>
      </c>
      <c r="K76" s="1" t="s">
        <v>550</v>
      </c>
    </row>
    <row r="77" spans="3:21" x14ac:dyDescent="0.15">
      <c r="C77" s="440" t="s">
        <v>228</v>
      </c>
      <c r="D77" s="431">
        <f t="shared" si="0"/>
        <v>63047</v>
      </c>
      <c r="E77" s="431">
        <f t="shared" si="3"/>
        <v>87663.379868193559</v>
      </c>
      <c r="F77" s="177">
        <f t="shared" si="1"/>
        <v>0.11852462817069391</v>
      </c>
      <c r="G77" s="177">
        <f t="shared" si="2"/>
        <v>7.1174758404310881E-2</v>
      </c>
      <c r="H77" s="177">
        <f>G24/P43_T14!$G$62</f>
        <v>1.0378264139614647E-3</v>
      </c>
      <c r="I77" s="177">
        <f>F24/P43_T14!$F$62</f>
        <v>1.8999792165339912E-3</v>
      </c>
    </row>
    <row r="78" spans="3:21" x14ac:dyDescent="0.15">
      <c r="C78" s="442" t="s">
        <v>167</v>
      </c>
      <c r="D78" s="429">
        <f t="shared" si="0"/>
        <v>2655</v>
      </c>
      <c r="E78" s="429">
        <f t="shared" si="3"/>
        <v>307712.7693408663</v>
      </c>
      <c r="F78" s="463">
        <f t="shared" si="1"/>
        <v>0.49457292717369178</v>
      </c>
      <c r="G78" s="177">
        <f t="shared" si="2"/>
        <v>9.32703820196841E-2</v>
      </c>
      <c r="H78" s="177">
        <f>G25/P43_T14!$G$62</f>
        <v>6.3928604227115736E-4</v>
      </c>
      <c r="I78" s="177">
        <f>F25/P43_T14!$F$62</f>
        <v>3.6754910446429681E-4</v>
      </c>
    </row>
    <row r="79" spans="3:21" x14ac:dyDescent="0.15">
      <c r="C79" s="440" t="s">
        <v>240</v>
      </c>
      <c r="D79" s="431">
        <f t="shared" si="0"/>
        <v>44768</v>
      </c>
      <c r="E79" s="431">
        <f t="shared" si="3"/>
        <v>155169.90124329881</v>
      </c>
      <c r="F79" s="177">
        <f t="shared" si="1"/>
        <v>0.11163829304062335</v>
      </c>
      <c r="G79" s="177">
        <f t="shared" si="2"/>
        <v>7.2714157240022323E-2</v>
      </c>
      <c r="H79" s="177">
        <f>G26/P43_T14!$G$62</f>
        <v>1.2271840634819761E-3</v>
      </c>
      <c r="I79" s="177">
        <f>F26/P43_T14!$F$62</f>
        <v>2.4368131224041601E-3</v>
      </c>
    </row>
    <row r="80" spans="3:21" x14ac:dyDescent="0.15">
      <c r="C80" s="440" t="s">
        <v>212</v>
      </c>
      <c r="D80" s="431">
        <f t="shared" si="0"/>
        <v>28836</v>
      </c>
      <c r="E80" s="431">
        <f t="shared" si="3"/>
        <v>117467.80696004991</v>
      </c>
      <c r="F80" s="177">
        <f t="shared" si="1"/>
        <v>0.15551237318339189</v>
      </c>
      <c r="G80" s="177">
        <f t="shared" si="2"/>
        <v>6.7182744031355282E-2</v>
      </c>
      <c r="H80" s="177">
        <f>G27/P43_T14!$G$62</f>
        <v>8.3343550009350772E-4</v>
      </c>
      <c r="I80" s="177">
        <f>F27/P43_T14!$F$62</f>
        <v>1.0976692927643682E-3</v>
      </c>
    </row>
    <row r="81" spans="3:10" x14ac:dyDescent="0.15">
      <c r="C81" s="440" t="s">
        <v>264</v>
      </c>
      <c r="D81" s="431">
        <f t="shared" si="0"/>
        <v>210243</v>
      </c>
      <c r="E81" s="431">
        <f t="shared" si="3"/>
        <v>138653.0317385121</v>
      </c>
      <c r="F81" s="177">
        <f t="shared" si="1"/>
        <v>0.15041997230647006</v>
      </c>
      <c r="G81" s="177">
        <f t="shared" si="2"/>
        <v>7.2037404793973969E-2</v>
      </c>
      <c r="H81" s="177">
        <f>G28/P43_T14!$G$62</f>
        <v>6.9515957500814653E-3</v>
      </c>
      <c r="I81" s="177">
        <f>F28/P43_T14!$F$62</f>
        <v>1.0149480036238005E-2</v>
      </c>
    </row>
    <row r="82" spans="3:10" x14ac:dyDescent="0.15">
      <c r="C82" s="442" t="s">
        <v>239</v>
      </c>
      <c r="D82" s="429">
        <f t="shared" si="0"/>
        <v>27178</v>
      </c>
      <c r="E82" s="429">
        <f t="shared" si="3"/>
        <v>257050.38193354919</v>
      </c>
      <c r="F82" s="177">
        <f t="shared" si="1"/>
        <v>0.12796492693639755</v>
      </c>
      <c r="G82" s="177">
        <f t="shared" si="2"/>
        <v>7.9452874663628811E-2</v>
      </c>
      <c r="H82" s="177">
        <f>G29/P43_T14!$G$62</f>
        <v>1.4156761794467097E-3</v>
      </c>
      <c r="I82" s="177">
        <f>F29/P43_T14!$F$62</f>
        <v>2.6797193782014364E-3</v>
      </c>
    </row>
    <row r="83" spans="3:10" x14ac:dyDescent="0.15">
      <c r="C83" s="442" t="s">
        <v>256</v>
      </c>
      <c r="D83" s="429">
        <f t="shared" si="0"/>
        <v>68160</v>
      </c>
      <c r="E83" s="429">
        <f t="shared" si="3"/>
        <v>253946.41939451289</v>
      </c>
      <c r="F83" s="177">
        <f t="shared" si="1"/>
        <v>0.10509836980911499</v>
      </c>
      <c r="G83" s="177">
        <f t="shared" si="2"/>
        <v>8.8620597614834123E-2</v>
      </c>
      <c r="H83" s="177">
        <f>G30/P43_T14!$G$62</f>
        <v>2.8783339928894246E-3</v>
      </c>
      <c r="I83" s="177">
        <f>F30/P43_T14!$F$62</f>
        <v>7.3992314395622833E-3</v>
      </c>
    </row>
    <row r="84" spans="3:10" x14ac:dyDescent="0.15">
      <c r="C84" s="442" t="s">
        <v>192</v>
      </c>
      <c r="D84" s="429">
        <f t="shared" si="0"/>
        <v>5423</v>
      </c>
      <c r="E84" s="429">
        <f t="shared" si="3"/>
        <v>256751.25664208003</v>
      </c>
      <c r="F84" s="177">
        <f t="shared" si="1"/>
        <v>0.11527877901490095</v>
      </c>
      <c r="G84" s="177">
        <f t="shared" si="2"/>
        <v>8.325640984906256E-2</v>
      </c>
      <c r="H84" s="177">
        <f>G31/P43_T14!$G$62</f>
        <v>2.539833928516961E-4</v>
      </c>
      <c r="I84" s="177">
        <f>F31/P43_T14!$F$62</f>
        <v>5.5921699614779941E-4</v>
      </c>
    </row>
    <row r="85" spans="3:10" x14ac:dyDescent="0.15">
      <c r="C85" s="440" t="s">
        <v>251</v>
      </c>
      <c r="D85" s="431">
        <f t="shared" si="0"/>
        <v>124919</v>
      </c>
      <c r="E85" s="431">
        <f t="shared" si="3"/>
        <v>108714.24632730009</v>
      </c>
      <c r="F85" s="177">
        <f t="shared" si="1"/>
        <v>8.1524090380238737E-2</v>
      </c>
      <c r="G85" s="177">
        <f t="shared" si="2"/>
        <v>6.9045875501455717E-2</v>
      </c>
      <c r="H85" s="177">
        <f>G32/P43_T14!$G$62</f>
        <v>1.7519031922316414E-3</v>
      </c>
      <c r="I85" s="177">
        <f>F32/P43_T14!$F$62</f>
        <v>4.5234377014306644E-3</v>
      </c>
    </row>
    <row r="86" spans="3:10" x14ac:dyDescent="0.15">
      <c r="C86" s="440" t="s">
        <v>208</v>
      </c>
      <c r="D86" s="431">
        <f t="shared" si="0"/>
        <v>18040</v>
      </c>
      <c r="E86" s="431">
        <f t="shared" si="3"/>
        <v>143313.9366197339</v>
      </c>
      <c r="F86" s="177">
        <f t="shared" si="1"/>
        <v>8.8608791504307949E-2</v>
      </c>
      <c r="G86" s="177">
        <f t="shared" si="2"/>
        <v>7.29935427522755E-2</v>
      </c>
      <c r="H86" s="177">
        <f>G33/P43_T14!$G$62</f>
        <v>3.6246990249709141E-4</v>
      </c>
      <c r="I86" s="177">
        <f>F33/P43_T14!$F$62</f>
        <v>9.1030370560705358E-4</v>
      </c>
    </row>
    <row r="87" spans="3:10" x14ac:dyDescent="0.15">
      <c r="C87" s="440" t="s">
        <v>198</v>
      </c>
      <c r="D87" s="431">
        <f t="shared" si="0"/>
        <v>13528</v>
      </c>
      <c r="E87" s="431">
        <f t="shared" si="3"/>
        <v>132167.36640745122</v>
      </c>
      <c r="F87" s="177">
        <f t="shared" si="1"/>
        <v>9.8446209360712508E-2</v>
      </c>
      <c r="G87" s="177">
        <f t="shared" si="2"/>
        <v>7.5338732793874263E-2</v>
      </c>
      <c r="H87" s="177">
        <f>G34/P43_T14!$G$62</f>
        <v>2.7861649250908064E-4</v>
      </c>
      <c r="I87" s="177">
        <f>F34/P43_T14!$F$62</f>
        <v>6.5002919635790161E-4</v>
      </c>
    </row>
    <row r="88" spans="3:10" x14ac:dyDescent="0.15">
      <c r="C88" s="440" t="s">
        <v>267</v>
      </c>
      <c r="D88" s="431">
        <f t="shared" si="0"/>
        <v>421932</v>
      </c>
      <c r="E88" s="431">
        <f t="shared" si="3"/>
        <v>75143.185160073175</v>
      </c>
      <c r="F88" s="177">
        <f t="shared" si="1"/>
        <v>9.0086573203285558E-2</v>
      </c>
      <c r="G88" s="177">
        <f t="shared" si="2"/>
        <v>7.2027402999183546E-2</v>
      </c>
      <c r="H88" s="177">
        <f>G35/P43_T14!$G$62</f>
        <v>4.522481444094853E-3</v>
      </c>
      <c r="I88" s="177">
        <f>F35/P43_T14!$F$62</f>
        <v>1.1023543320005767E-2</v>
      </c>
    </row>
    <row r="89" spans="3:10" x14ac:dyDescent="0.15">
      <c r="C89" s="443" t="s">
        <v>248</v>
      </c>
      <c r="D89" s="433">
        <f t="shared" si="0"/>
        <v>9340</v>
      </c>
      <c r="E89" s="433">
        <f t="shared" si="3"/>
        <v>523712.1346970023</v>
      </c>
      <c r="F89" s="177">
        <f t="shared" si="1"/>
        <v>4.0445100318146111E-2</v>
      </c>
      <c r="G89" s="177">
        <f t="shared" si="2"/>
        <v>1.9089004299730785E-2</v>
      </c>
      <c r="H89" s="177">
        <f>G36/P43_T14!$G$62</f>
        <v>6.2440247664577247E-4</v>
      </c>
      <c r="I89" s="177">
        <f>F36/P43_T14!$F$62</f>
        <v>8.9843922841763193E-4</v>
      </c>
    </row>
    <row r="90" spans="3:10" x14ac:dyDescent="0.15">
      <c r="C90" s="440" t="s">
        <v>165</v>
      </c>
      <c r="D90" s="431">
        <f t="shared" si="0"/>
        <v>6609</v>
      </c>
      <c r="E90" s="431">
        <f t="shared" si="3"/>
        <v>132748.75524436377</v>
      </c>
      <c r="F90" s="457">
        <f t="shared" si="1"/>
        <v>0.50607132547680467</v>
      </c>
      <c r="G90" s="177">
        <f t="shared" si="2"/>
        <v>0.15444605623626931</v>
      </c>
      <c r="H90" s="177">
        <f>G37/P43_T14!$G$62</f>
        <v>7.0376679685395542E-4</v>
      </c>
      <c r="I90" s="177">
        <f>F37/P43_T14!$F$62</f>
        <v>6.5478782615823708E-4</v>
      </c>
    </row>
    <row r="91" spans="3:10" x14ac:dyDescent="0.15">
      <c r="C91" s="440" t="s">
        <v>274</v>
      </c>
      <c r="D91" s="431">
        <f t="shared" si="0"/>
        <v>2793325</v>
      </c>
      <c r="E91" s="431">
        <f t="shared" si="3"/>
        <v>120256.24551656179</v>
      </c>
      <c r="F91" s="458">
        <f t="shared" si="1"/>
        <v>0.58730253482858463</v>
      </c>
      <c r="G91" s="451">
        <f t="shared" si="2"/>
        <v>0.13570253164746374</v>
      </c>
      <c r="H91" s="454">
        <f>G38/P43_T14!$G$62</f>
        <v>0.31264722629208253</v>
      </c>
      <c r="I91" s="177">
        <f>F38/P43_T14!$F$62</f>
        <v>0.22023553063400458</v>
      </c>
      <c r="J91" s="1">
        <f>E91*I91+E92*I92+E93*I93+E94*I94+E95*I95</f>
        <v>31575.932863608148</v>
      </c>
    </row>
    <row r="92" spans="3:10" x14ac:dyDescent="0.15">
      <c r="C92" s="440" t="s">
        <v>177</v>
      </c>
      <c r="D92" s="431">
        <f t="shared" si="0"/>
        <v>12921</v>
      </c>
      <c r="E92" s="431">
        <f t="shared" si="3"/>
        <v>78316.886781982816</v>
      </c>
      <c r="F92" s="177">
        <f t="shared" si="1"/>
        <v>0.26741922599196599</v>
      </c>
      <c r="G92" s="177">
        <f t="shared" si="2"/>
        <v>6.9100554000868383E-2</v>
      </c>
      <c r="H92" s="177">
        <f>G39/P43_T14!$G$62</f>
        <v>4.2961437046266915E-4</v>
      </c>
      <c r="I92" s="177">
        <f>F39/P43_T14!$F$62</f>
        <v>3.3843434690880776E-4</v>
      </c>
    </row>
    <row r="93" spans="3:10" x14ac:dyDescent="0.15">
      <c r="C93" s="440" t="s">
        <v>271</v>
      </c>
      <c r="D93" s="431">
        <f t="shared" si="0"/>
        <v>814148</v>
      </c>
      <c r="E93" s="431">
        <f t="shared" si="3"/>
        <v>105145.26701037159</v>
      </c>
      <c r="F93" s="177">
        <f t="shared" si="1"/>
        <v>0.31891817379700582</v>
      </c>
      <c r="G93" s="177">
        <f t="shared" si="2"/>
        <v>0.10126159881305004</v>
      </c>
      <c r="H93" s="177">
        <f>G40/P43_T14!$G$62</f>
        <v>4.3244517937414441E-2</v>
      </c>
      <c r="I93" s="177">
        <f>F40/P43_T14!$F$62</f>
        <v>4.186039308587465E-2</v>
      </c>
    </row>
    <row r="94" spans="3:10" x14ac:dyDescent="0.15">
      <c r="C94" s="440" t="s">
        <v>238</v>
      </c>
      <c r="D94" s="431">
        <f t="shared" si="0"/>
        <v>45495</v>
      </c>
      <c r="E94" s="431">
        <f t="shared" si="3"/>
        <v>150304.44097615121</v>
      </c>
      <c r="F94" s="177">
        <f t="shared" si="1"/>
        <v>0.13337116691042622</v>
      </c>
      <c r="G94" s="177">
        <f t="shared" si="2"/>
        <v>0.12496743781050804</v>
      </c>
      <c r="H94" s="177">
        <f>G41/P43_T14!$G$62</f>
        <v>1.4433335948960801E-3</v>
      </c>
      <c r="I94" s="177">
        <f>F41/P43_T14!$F$62</f>
        <v>4.1229528228027071E-3</v>
      </c>
    </row>
    <row r="95" spans="3:10" x14ac:dyDescent="0.15">
      <c r="C95" s="440" t="s">
        <v>175</v>
      </c>
      <c r="D95" s="431">
        <f t="shared" si="0"/>
        <v>10463</v>
      </c>
      <c r="E95" s="431">
        <f t="shared" si="3"/>
        <v>93189.482196310797</v>
      </c>
      <c r="F95" s="177">
        <f t="shared" si="1"/>
        <v>0.2854390461452942</v>
      </c>
      <c r="G95" s="177">
        <f t="shared" si="2"/>
        <v>9.908961021998211E-2</v>
      </c>
      <c r="H95" s="177">
        <f>G42/P43_T14!$G$62</f>
        <v>4.4217219474377759E-4</v>
      </c>
      <c r="I95" s="177">
        <f>F42/P43_T14!$F$62</f>
        <v>4.6796448892546974E-4</v>
      </c>
    </row>
    <row r="96" spans="3:10" x14ac:dyDescent="0.15">
      <c r="C96" s="440" t="s">
        <v>191</v>
      </c>
      <c r="D96" s="431">
        <f t="shared" si="0"/>
        <v>18862</v>
      </c>
      <c r="E96" s="431">
        <f t="shared" si="3"/>
        <v>97479.808393065425</v>
      </c>
      <c r="F96" s="177">
        <f t="shared" si="1"/>
        <v>0.17895510591392158</v>
      </c>
      <c r="G96" s="177">
        <f t="shared" si="2"/>
        <v>0.1088140100918543</v>
      </c>
      <c r="H96" s="177">
        <f>G43/P43_T14!$G$62</f>
        <v>5.2112664089456822E-4</v>
      </c>
      <c r="I96" s="177">
        <f>F43/P43_T14!$F$62</f>
        <v>9.6603025315657783E-4</v>
      </c>
    </row>
    <row r="97" spans="3:9" x14ac:dyDescent="0.15">
      <c r="C97" s="440" t="s">
        <v>260</v>
      </c>
      <c r="D97" s="431">
        <f t="shared" si="0"/>
        <v>308946</v>
      </c>
      <c r="E97" s="431">
        <f t="shared" si="3"/>
        <v>100409.84822302278</v>
      </c>
      <c r="F97" s="177">
        <f t="shared" si="1"/>
        <v>0.19837005089532755</v>
      </c>
      <c r="G97" s="177">
        <f t="shared" si="2"/>
        <v>0.10121775875484713</v>
      </c>
      <c r="H97" s="177">
        <f>G44/P43_T14!$G$62</f>
        <v>9.7450262702542863E-3</v>
      </c>
      <c r="I97" s="177">
        <f>F44/P43_T14!$F$62</f>
        <v>1.5158993140221491E-2</v>
      </c>
    </row>
    <row r="98" spans="3:9" x14ac:dyDescent="0.15">
      <c r="C98" s="440" t="s">
        <v>229</v>
      </c>
      <c r="D98" s="431">
        <f t="shared" si="0"/>
        <v>37688</v>
      </c>
      <c r="E98" s="431">
        <f t="shared" si="3"/>
        <v>148388.64901374443</v>
      </c>
      <c r="F98" s="177">
        <f t="shared" si="1"/>
        <v>0.18758197459790452</v>
      </c>
      <c r="G98" s="177">
        <f t="shared" si="2"/>
        <v>0.11247933072535476</v>
      </c>
      <c r="H98" s="177">
        <f>G45/P43_T14!$G$62</f>
        <v>1.6601817148047195E-3</v>
      </c>
      <c r="I98" s="177">
        <f>F45/P43_T14!$F$62</f>
        <v>3.034897144338061E-3</v>
      </c>
    </row>
    <row r="99" spans="3:9" x14ac:dyDescent="0.15">
      <c r="C99" s="440" t="s">
        <v>270</v>
      </c>
      <c r="D99" s="431">
        <f t="shared" si="0"/>
        <v>483997</v>
      </c>
      <c r="E99" s="431">
        <f t="shared" si="3"/>
        <v>177009.33197749162</v>
      </c>
      <c r="F99" s="177">
        <f t="shared" si="1"/>
        <v>0.30965643720960589</v>
      </c>
      <c r="G99" s="177">
        <f t="shared" si="2"/>
        <v>0.12606727345864766</v>
      </c>
      <c r="H99" s="177">
        <f>G46/P43_T14!$G$62</f>
        <v>4.2020034267138261E-2</v>
      </c>
      <c r="I99" s="177">
        <f>F46/P43_T14!$F$62</f>
        <v>5.2153730697055208E-2</v>
      </c>
    </row>
    <row r="100" spans="3:9" x14ac:dyDescent="0.15">
      <c r="C100" s="440" t="s">
        <v>210</v>
      </c>
      <c r="D100" s="431">
        <f t="shared" si="0"/>
        <v>12056</v>
      </c>
      <c r="E100" s="431">
        <f t="shared" si="3"/>
        <v>230690.13556320505</v>
      </c>
      <c r="F100" s="177">
        <f t="shared" si="1"/>
        <v>0.15944148872738972</v>
      </c>
      <c r="G100" s="177">
        <f t="shared" si="2"/>
        <v>8.0475883159015077E-2</v>
      </c>
      <c r="H100" s="177">
        <f>G47/P43_T14!$G$62</f>
        <v>7.0176925677818008E-4</v>
      </c>
      <c r="I100" s="177">
        <f>F47/P43_T14!$F$62</f>
        <v>1.0798550899303533E-3</v>
      </c>
    </row>
    <row r="101" spans="3:9" x14ac:dyDescent="0.15">
      <c r="C101" s="440" t="s">
        <v>216</v>
      </c>
      <c r="D101" s="431">
        <f t="shared" si="0"/>
        <v>49903</v>
      </c>
      <c r="E101" s="431">
        <f t="shared" si="3"/>
        <v>84419.815336953689</v>
      </c>
      <c r="F101" s="177">
        <f t="shared" si="1"/>
        <v>0.19033846231656748</v>
      </c>
      <c r="G101" s="177">
        <f t="shared" si="2"/>
        <v>7.6665731143460245E-2</v>
      </c>
      <c r="H101" s="177">
        <f>G48/P43_T14!$G$62</f>
        <v>1.2704092851987948E-3</v>
      </c>
      <c r="I101" s="177">
        <f>F48/P43_T14!$F$62</f>
        <v>1.5600018558116012E-3</v>
      </c>
    </row>
    <row r="102" spans="3:9" x14ac:dyDescent="0.15">
      <c r="C102" s="440" t="s">
        <v>224</v>
      </c>
      <c r="D102" s="431">
        <f t="shared" si="0"/>
        <v>35690</v>
      </c>
      <c r="E102" s="431">
        <f t="shared" si="3"/>
        <v>145246.73374530685</v>
      </c>
      <c r="F102" s="177">
        <f t="shared" si="1"/>
        <v>0.26116985953161659</v>
      </c>
      <c r="G102" s="177">
        <f t="shared" si="2"/>
        <v>9.7528049198242817E-2</v>
      </c>
      <c r="H102" s="177">
        <f>G49/P43_T14!$G$62</f>
        <v>2.1445603729176687E-3</v>
      </c>
      <c r="I102" s="177">
        <f>F49/P43_T14!$F$62</f>
        <v>2.4414705449158931E-3</v>
      </c>
    </row>
    <row r="103" spans="3:9" x14ac:dyDescent="0.15">
      <c r="C103" s="440" t="s">
        <v>179</v>
      </c>
      <c r="D103" s="431">
        <f t="shared" si="0"/>
        <v>20796</v>
      </c>
      <c r="E103" s="431">
        <f t="shared" si="3"/>
        <v>48199.108703115984</v>
      </c>
      <c r="F103" s="177">
        <f t="shared" si="1"/>
        <v>0.19041996632688404</v>
      </c>
      <c r="G103" s="177">
        <f t="shared" si="2"/>
        <v>5.9971492681768386E-2</v>
      </c>
      <c r="H103" s="177">
        <f>G50/P43_T14!$G$62</f>
        <v>3.0413774831024472E-4</v>
      </c>
      <c r="I103" s="177">
        <f>F50/P43_T14!$F$62</f>
        <v>2.9201787155730256E-4</v>
      </c>
    </row>
    <row r="104" spans="3:9" x14ac:dyDescent="0.15">
      <c r="C104" s="442" t="s">
        <v>272</v>
      </c>
      <c r="D104" s="429">
        <f t="shared" si="0"/>
        <v>318427</v>
      </c>
      <c r="E104" s="429">
        <f t="shared" si="3"/>
        <v>268753.37965951383</v>
      </c>
      <c r="F104" s="177">
        <f t="shared" si="1"/>
        <v>0.32540684614302695</v>
      </c>
      <c r="G104" s="177">
        <f t="shared" si="2"/>
        <v>6.4954193384281739E-2</v>
      </c>
      <c r="H104" s="177">
        <f>G51/P43_T14!$G$62</f>
        <v>4.5687047297000904E-2</v>
      </c>
      <c r="I104" s="177">
        <f>F51/P43_T14!$F$62</f>
        <v>2.7802274674353884E-2</v>
      </c>
    </row>
    <row r="105" spans="3:9" x14ac:dyDescent="0.15">
      <c r="C105" s="441" t="s">
        <v>252</v>
      </c>
      <c r="D105" s="427">
        <f t="shared" si="0"/>
        <v>184635</v>
      </c>
      <c r="E105" s="427">
        <f t="shared" si="3"/>
        <v>77083.678221301481</v>
      </c>
      <c r="F105" s="177">
        <f t="shared" si="1"/>
        <v>0.20160841970162602</v>
      </c>
      <c r="G105" s="177">
        <f t="shared" si="2"/>
        <v>4.9486565838210525E-2</v>
      </c>
      <c r="H105" s="177">
        <f>G52/P43_T14!$G$62</f>
        <v>5.4705337078563392E-3</v>
      </c>
      <c r="I105" s="177">
        <f>F52/P43_T14!$F$62</f>
        <v>4.0936912055480465E-3</v>
      </c>
    </row>
    <row r="106" spans="3:9" x14ac:dyDescent="0.15">
      <c r="C106" s="441" t="s">
        <v>257</v>
      </c>
      <c r="D106" s="427">
        <f t="shared" si="0"/>
        <v>351655</v>
      </c>
      <c r="E106" s="427">
        <f t="shared" si="3"/>
        <v>66981.701189660322</v>
      </c>
      <c r="F106" s="177">
        <f t="shared" si="1"/>
        <v>0.10211374686482058</v>
      </c>
      <c r="G106" s="177">
        <f t="shared" si="2"/>
        <v>6.9119537950074889E-2</v>
      </c>
      <c r="H106" s="177">
        <f>G53/P43_T14!$G$62</f>
        <v>3.8084833001489678E-3</v>
      </c>
      <c r="I106" s="177">
        <f>F53/P43_T14!$F$62</f>
        <v>7.8591467862332391E-3</v>
      </c>
    </row>
    <row r="107" spans="3:9" x14ac:dyDescent="0.15">
      <c r="C107" s="440" t="s">
        <v>213</v>
      </c>
      <c r="D107" s="431">
        <f t="shared" si="0"/>
        <v>42367</v>
      </c>
      <c r="E107" s="431">
        <f t="shared" si="3"/>
        <v>89818.191121627693</v>
      </c>
      <c r="F107" s="177">
        <f t="shared" si="1"/>
        <v>0.25447114283029126</v>
      </c>
      <c r="G107" s="177">
        <f t="shared" si="2"/>
        <v>7.3485840775186176E-2</v>
      </c>
      <c r="H107" s="177">
        <f>G54/P43_T14!$G$62</f>
        <v>1.5500450502199902E-3</v>
      </c>
      <c r="I107" s="177">
        <f>F54/P43_T14!$F$62</f>
        <v>1.3646339705940685E-3</v>
      </c>
    </row>
    <row r="108" spans="3:9" x14ac:dyDescent="0.15">
      <c r="C108" s="441" t="s">
        <v>233</v>
      </c>
      <c r="D108" s="427">
        <f t="shared" si="0"/>
        <v>126199</v>
      </c>
      <c r="E108" s="427">
        <f t="shared" si="3"/>
        <v>53640.26374155104</v>
      </c>
      <c r="F108" s="177">
        <f t="shared" si="1"/>
        <v>0.22358553844465892</v>
      </c>
      <c r="G108" s="177">
        <f t="shared" si="2"/>
        <v>5.6146112273184959E-2</v>
      </c>
      <c r="H108" s="177">
        <f>G55/P43_T14!$G$62</f>
        <v>2.4538036249348023E-3</v>
      </c>
      <c r="I108" s="177">
        <f>F55/P43_T14!$F$62</f>
        <v>1.8785489408276483E-3</v>
      </c>
    </row>
    <row r="109" spans="3:9" x14ac:dyDescent="0.15">
      <c r="C109" s="440" t="s">
        <v>258</v>
      </c>
      <c r="D109" s="431">
        <f t="shared" si="0"/>
        <v>312183</v>
      </c>
      <c r="E109" s="431">
        <f t="shared" si="3"/>
        <v>130685.67333781789</v>
      </c>
      <c r="F109" s="454">
        <f t="shared" si="1"/>
        <v>0.47541475690592089</v>
      </c>
      <c r="G109" s="177">
        <f t="shared" si="2"/>
        <v>8.6866790747456832E-2</v>
      </c>
      <c r="H109" s="177">
        <f>G56/P43_T14!$G$62</f>
        <v>3.1153957480171492E-2</v>
      </c>
      <c r="I109" s="177">
        <f>F56/P43_T14!$F$62</f>
        <v>1.7354059098652425E-2</v>
      </c>
    </row>
    <row r="110" spans="3:9" x14ac:dyDescent="0.15">
      <c r="C110" s="440" t="s">
        <v>172</v>
      </c>
      <c r="D110" s="431">
        <f t="shared" si="0"/>
        <v>6196</v>
      </c>
      <c r="E110" s="431">
        <f t="shared" si="3"/>
        <v>114113.74048418335</v>
      </c>
      <c r="F110" s="177">
        <f t="shared" si="1"/>
        <v>0.25196160309642129</v>
      </c>
      <c r="G110" s="177">
        <f t="shared" si="2"/>
        <v>9.2453072170941772E-2</v>
      </c>
      <c r="H110" s="177">
        <f>G57/P43_T14!$G$62</f>
        <v>2.8246983904281562E-4</v>
      </c>
      <c r="I110" s="177">
        <f>F57/P43_T14!$F$62</f>
        <v>3.159845126916649E-4</v>
      </c>
    </row>
    <row r="111" spans="3:9" x14ac:dyDescent="0.15">
      <c r="C111" s="440" t="s">
        <v>152</v>
      </c>
      <c r="D111" s="431">
        <f t="shared" si="0"/>
        <v>1268</v>
      </c>
      <c r="E111" s="431">
        <f t="shared" si="3"/>
        <v>108721.29235804417</v>
      </c>
      <c r="F111" s="177">
        <f t="shared" si="1"/>
        <v>0.24295804643285818</v>
      </c>
      <c r="G111" s="177">
        <f t="shared" si="2"/>
        <v>7.7326379011493918E-2</v>
      </c>
      <c r="H111" s="177">
        <f>G58/P43_T14!$G$62</f>
        <v>5.3114117256272956E-5</v>
      </c>
      <c r="I111" s="177">
        <f>F58/P43_T14!$F$62</f>
        <v>5.1536282171053561E-5</v>
      </c>
    </row>
    <row r="112" spans="3:9" x14ac:dyDescent="0.15">
      <c r="C112" s="440" t="s">
        <v>268</v>
      </c>
      <c r="D112" s="431">
        <f t="shared" si="0"/>
        <v>409768</v>
      </c>
      <c r="E112" s="431">
        <f t="shared" si="3"/>
        <v>129974.36625000001</v>
      </c>
      <c r="F112" s="177">
        <f t="shared" si="1"/>
        <v>0.28973764094779858</v>
      </c>
      <c r="G112" s="177">
        <f t="shared" si="2"/>
        <v>0.13478903716926716</v>
      </c>
      <c r="H112" s="177">
        <f>G59/P43_T14!$G$62</f>
        <v>2.4571656139079856E-2</v>
      </c>
      <c r="I112" s="177">
        <f>F59/P43_T14!$F$62</f>
        <v>3.4849039345571473E-2</v>
      </c>
    </row>
    <row r="113" spans="3:9" x14ac:dyDescent="0.15">
      <c r="C113" s="440" t="s">
        <v>231</v>
      </c>
      <c r="D113" s="431">
        <f t="shared" si="0"/>
        <v>70317</v>
      </c>
      <c r="E113" s="431">
        <f t="shared" si="3"/>
        <v>112108.96755322326</v>
      </c>
      <c r="F113" s="177">
        <f t="shared" si="1"/>
        <v>0.32387340038611745</v>
      </c>
      <c r="G113" s="177">
        <f t="shared" si="2"/>
        <v>0.13151627776032959</v>
      </c>
      <c r="H113" s="177">
        <f>G60/P43_T14!$G$62</f>
        <v>4.0460228493149524E-3</v>
      </c>
      <c r="I113" s="177">
        <f>F60/P43_T14!$F$62</f>
        <v>5.0088645678609952E-3</v>
      </c>
    </row>
    <row r="114" spans="3:9" x14ac:dyDescent="0.15">
      <c r="C114" s="440" t="s">
        <v>234</v>
      </c>
      <c r="D114" s="431">
        <f t="shared" si="0"/>
        <v>94994</v>
      </c>
      <c r="E114" s="431">
        <f t="shared" si="3"/>
        <v>78092.746756110922</v>
      </c>
      <c r="F114" s="177">
        <f t="shared" si="1"/>
        <v>0.26409978122890621</v>
      </c>
      <c r="G114" s="177">
        <f t="shared" si="2"/>
        <v>9.7557425229704772E-2</v>
      </c>
      <c r="H114" s="177">
        <f>G61/P43_T14!$G$62</f>
        <v>3.168694380146316E-3</v>
      </c>
      <c r="I114" s="177">
        <f>F61/P43_T14!$F$62</f>
        <v>3.5684479979642709E-3</v>
      </c>
    </row>
  </sheetData>
  <sheetProtection selectLockedCells="1" selectUnlockedCells="1"/>
  <mergeCells count="13">
    <mergeCell ref="C12:C13"/>
    <mergeCell ref="D12:D13"/>
    <mergeCell ref="E12:E13"/>
    <mergeCell ref="F12:F13"/>
    <mergeCell ref="G12:G13"/>
    <mergeCell ref="U12:U13"/>
    <mergeCell ref="H12:N12"/>
    <mergeCell ref="O12:O13"/>
    <mergeCell ref="P12:P13"/>
    <mergeCell ref="T12:T13"/>
    <mergeCell ref="Q12:Q13"/>
    <mergeCell ref="R12:R13"/>
    <mergeCell ref="S12:S13"/>
  </mergeCells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58" firstPageNumber="0" orientation="landscape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9">
    <pageSetUpPr fitToPage="1"/>
  </sheetPr>
  <dimension ref="B3:V114"/>
  <sheetViews>
    <sheetView showGridLines="0" topLeftCell="A57" zoomScale="150" zoomScaleNormal="150" zoomScalePageLayoutView="150" workbookViewId="0">
      <selection activeCell="E110" sqref="E110"/>
    </sheetView>
  </sheetViews>
  <sheetFormatPr baseColWidth="10" defaultColWidth="8.83203125" defaultRowHeight="13" x14ac:dyDescent="0.15"/>
  <cols>
    <col min="1" max="2" width="3.33203125" style="1" customWidth="1"/>
    <col min="3" max="3" width="58.6640625" style="1" customWidth="1"/>
    <col min="4" max="4" width="11.6640625" style="1" customWidth="1"/>
    <col min="5" max="5" width="9.6640625" style="1" customWidth="1"/>
    <col min="6" max="14" width="8.6640625" style="1" customWidth="1"/>
    <col min="15" max="15" width="9.83203125" style="1" customWidth="1"/>
    <col min="16" max="16" width="10.33203125" style="1" customWidth="1"/>
    <col min="17" max="19" width="8.6640625" style="1" customWidth="1"/>
    <col min="20" max="21" width="9.6640625" style="1" customWidth="1"/>
    <col min="22" max="22" width="3.33203125" style="1" customWidth="1"/>
    <col min="23" max="16384" width="8.83203125" style="1"/>
  </cols>
  <sheetData>
    <row r="3" spans="2:22" ht="14" thickBot="1" x14ac:dyDescent="0.2">
      <c r="B3" s="184">
        <v>2.5</v>
      </c>
      <c r="C3" s="9">
        <v>58</v>
      </c>
      <c r="D3" s="9">
        <v>11</v>
      </c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4">
        <v>2.5</v>
      </c>
    </row>
    <row r="4" spans="2:22" ht="13" customHeight="1" x14ac:dyDescent="0.15">
      <c r="B4" s="69"/>
      <c r="C4" s="93"/>
      <c r="D4" s="70"/>
      <c r="E4" s="94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82"/>
    </row>
    <row r="5" spans="2:22" ht="13" customHeight="1" x14ac:dyDescent="0.15">
      <c r="B5" s="72"/>
      <c r="C5" s="96"/>
      <c r="D5" s="73"/>
      <c r="E5" s="97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74" t="s">
        <v>452</v>
      </c>
      <c r="V5" s="75"/>
    </row>
    <row r="6" spans="2:22" ht="13" customHeight="1" x14ac:dyDescent="0.15">
      <c r="B6" s="72"/>
      <c r="C6" s="96"/>
      <c r="D6" s="73"/>
      <c r="E6" s="97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75"/>
    </row>
    <row r="7" spans="2:22" ht="13" customHeight="1" x14ac:dyDescent="0.15">
      <c r="B7" s="72"/>
      <c r="C7" s="77" t="s">
        <v>438</v>
      </c>
      <c r="D7" s="92"/>
      <c r="E7" s="99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75"/>
    </row>
    <row r="8" spans="2:22" ht="13" customHeight="1" x14ac:dyDescent="0.15">
      <c r="B8" s="72"/>
      <c r="C8" s="77"/>
      <c r="D8" s="92"/>
      <c r="E8" s="99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75"/>
    </row>
    <row r="9" spans="2:22" ht="15" customHeight="1" x14ac:dyDescent="0.15">
      <c r="B9" s="2"/>
      <c r="C9" s="46"/>
      <c r="D9" s="46"/>
      <c r="E9" s="126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22"/>
    </row>
    <row r="10" spans="2:22" ht="15" customHeight="1" x14ac:dyDescent="0.15">
      <c r="B10" s="2"/>
      <c r="C10" s="12" t="s">
        <v>407</v>
      </c>
      <c r="E10" s="42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22"/>
    </row>
    <row r="11" spans="2:22" ht="15" customHeight="1" thickBot="1" x14ac:dyDescent="0.2">
      <c r="B11" s="2"/>
      <c r="C11" s="12"/>
      <c r="D11" s="12"/>
      <c r="T11" s="11"/>
      <c r="U11" s="11" t="s">
        <v>39</v>
      </c>
      <c r="V11" s="22"/>
    </row>
    <row r="12" spans="2:22" ht="15" customHeight="1" thickBot="1" x14ac:dyDescent="0.2">
      <c r="B12" s="2"/>
      <c r="C12" s="477" t="s">
        <v>62</v>
      </c>
      <c r="D12" s="477" t="s">
        <v>68</v>
      </c>
      <c r="E12" s="477" t="s">
        <v>363</v>
      </c>
      <c r="F12" s="477" t="s">
        <v>374</v>
      </c>
      <c r="G12" s="477" t="s">
        <v>0</v>
      </c>
      <c r="H12" s="481" t="s">
        <v>7</v>
      </c>
      <c r="I12" s="481"/>
      <c r="J12" s="481"/>
      <c r="K12" s="481"/>
      <c r="L12" s="481"/>
      <c r="M12" s="481"/>
      <c r="N12" s="481"/>
      <c r="O12" s="477" t="s">
        <v>66</v>
      </c>
      <c r="P12" s="477" t="s">
        <v>40</v>
      </c>
      <c r="Q12" s="477" t="s">
        <v>360</v>
      </c>
      <c r="R12" s="477" t="s">
        <v>361</v>
      </c>
      <c r="S12" s="477" t="s">
        <v>362</v>
      </c>
      <c r="T12" s="477" t="s">
        <v>44</v>
      </c>
      <c r="U12" s="477" t="s">
        <v>46</v>
      </c>
      <c r="V12" s="22"/>
    </row>
    <row r="13" spans="2:22" ht="37" customHeight="1" thickBot="1" x14ac:dyDescent="0.2">
      <c r="B13" s="2"/>
      <c r="C13" s="487"/>
      <c r="D13" s="487"/>
      <c r="E13" s="487"/>
      <c r="F13" s="487"/>
      <c r="G13" s="487"/>
      <c r="H13" s="191" t="s">
        <v>1</v>
      </c>
      <c r="I13" s="191" t="s">
        <v>2</v>
      </c>
      <c r="J13" s="191" t="s">
        <v>3</v>
      </c>
      <c r="K13" s="191" t="s">
        <v>4</v>
      </c>
      <c r="L13" s="191" t="s">
        <v>5</v>
      </c>
      <c r="M13" s="191" t="s">
        <v>67</v>
      </c>
      <c r="N13" s="191" t="s">
        <v>6</v>
      </c>
      <c r="O13" s="487"/>
      <c r="P13" s="487"/>
      <c r="Q13" s="487"/>
      <c r="R13" s="487"/>
      <c r="S13" s="487"/>
      <c r="T13" s="487"/>
      <c r="U13" s="487"/>
      <c r="V13" s="22"/>
    </row>
    <row r="14" spans="2:22" ht="14" customHeight="1" x14ac:dyDescent="0.15">
      <c r="B14" s="2"/>
      <c r="C14" s="14" t="s">
        <v>162</v>
      </c>
      <c r="D14" s="60">
        <v>4162</v>
      </c>
      <c r="E14" s="274">
        <v>0.27505974853999998</v>
      </c>
      <c r="F14" s="274">
        <v>2.8657380899999998E-2</v>
      </c>
      <c r="G14" s="274">
        <v>5.6124355129999998E-2</v>
      </c>
      <c r="H14" s="59">
        <v>1.495040018E-2</v>
      </c>
      <c r="I14" s="59">
        <v>4.8185994000000008E-3</v>
      </c>
      <c r="J14" s="59">
        <v>3.5295044100000002E-3</v>
      </c>
      <c r="K14" s="59">
        <v>1.5296180349999999E-2</v>
      </c>
      <c r="L14" s="59">
        <v>4.539678E-4</v>
      </c>
      <c r="M14" s="59">
        <v>1.9820081700000001E-3</v>
      </c>
      <c r="N14" s="59">
        <v>2.2205088339999998E-2</v>
      </c>
      <c r="O14" s="59">
        <v>0.21653984435000001</v>
      </c>
      <c r="P14" s="59">
        <v>2.782608457E-2</v>
      </c>
      <c r="Q14" s="59">
        <v>2.9246658879999998E-2</v>
      </c>
      <c r="R14" s="59">
        <v>2.61689201E-3</v>
      </c>
      <c r="S14" s="59">
        <v>4.1088098299999999E-3</v>
      </c>
      <c r="T14" s="59">
        <v>0.56094711053000001</v>
      </c>
      <c r="U14" s="59">
        <v>6.9764327210000004E-2</v>
      </c>
      <c r="V14" s="88">
        <v>48</v>
      </c>
    </row>
    <row r="15" spans="2:22" ht="14" customHeight="1" x14ac:dyDescent="0.15">
      <c r="B15" s="2"/>
      <c r="C15" s="23" t="s">
        <v>160</v>
      </c>
      <c r="D15" s="289">
        <v>3776</v>
      </c>
      <c r="E15" s="275">
        <v>0.22878848199000001</v>
      </c>
      <c r="F15" s="275">
        <v>2.3223758880000001E-2</v>
      </c>
      <c r="G15" s="275">
        <v>5.9410085129999998E-2</v>
      </c>
      <c r="H15" s="62">
        <v>1.288013042E-2</v>
      </c>
      <c r="I15" s="62">
        <v>4.5874717199999998E-3</v>
      </c>
      <c r="J15" s="62">
        <v>2.9880242799999999E-3</v>
      </c>
      <c r="K15" s="62">
        <v>9.9881294200000002E-3</v>
      </c>
      <c r="L15" s="62">
        <v>1.8859894000000001E-4</v>
      </c>
      <c r="M15" s="62">
        <v>1.8745352000000002E-3</v>
      </c>
      <c r="N15" s="62">
        <v>1.7330091260000006E-2</v>
      </c>
      <c r="O15" s="62">
        <v>0.17952779820999998</v>
      </c>
      <c r="P15" s="62">
        <v>2.19875904E-2</v>
      </c>
      <c r="Q15" s="62">
        <v>2.2416142350000001E-2</v>
      </c>
      <c r="R15" s="62">
        <v>2.3599345600000001E-3</v>
      </c>
      <c r="S15" s="62">
        <v>2.8176020800000003E-3</v>
      </c>
      <c r="T15" s="62">
        <v>0.58931510347999994</v>
      </c>
      <c r="U15" s="62">
        <v>4.1665871139999998E-2</v>
      </c>
      <c r="V15" s="88">
        <v>49</v>
      </c>
    </row>
    <row r="16" spans="2:22" ht="14" customHeight="1" x14ac:dyDescent="0.15">
      <c r="B16" s="2"/>
      <c r="C16" s="23" t="s">
        <v>219</v>
      </c>
      <c r="D16" s="289">
        <v>55877</v>
      </c>
      <c r="E16" s="275">
        <v>3.3258066497000001</v>
      </c>
      <c r="F16" s="275">
        <v>0.30092233387</v>
      </c>
      <c r="G16" s="275">
        <v>0.46229500387</v>
      </c>
      <c r="H16" s="62">
        <v>0.18625599595</v>
      </c>
      <c r="I16" s="62">
        <v>6.3009120119999998E-2</v>
      </c>
      <c r="J16" s="62">
        <v>5.1988371990000004E-2</v>
      </c>
      <c r="K16" s="62">
        <v>0.16903920272999998</v>
      </c>
      <c r="L16" s="62">
        <v>2.1389215800000001E-3</v>
      </c>
      <c r="M16" s="62">
        <v>3.4540757199999998E-3</v>
      </c>
      <c r="N16" s="62">
        <v>0.26888174658999991</v>
      </c>
      <c r="O16" s="62">
        <v>2.5932971382000001</v>
      </c>
      <c r="P16" s="62">
        <v>0.28645473097999996</v>
      </c>
      <c r="Q16" s="62">
        <v>0.28911753069000001</v>
      </c>
      <c r="R16" s="62">
        <v>4.0004159680000005E-2</v>
      </c>
      <c r="S16" s="62">
        <v>4.3060222920000002E-2</v>
      </c>
      <c r="T16" s="62">
        <v>5.0101035005900005</v>
      </c>
      <c r="U16" s="62">
        <v>0.65361868928</v>
      </c>
      <c r="V16" s="88">
        <v>50</v>
      </c>
    </row>
    <row r="17" spans="2:22" ht="14" customHeight="1" x14ac:dyDescent="0.15">
      <c r="B17" s="2"/>
      <c r="C17" s="23" t="s">
        <v>148</v>
      </c>
      <c r="D17" s="289">
        <v>1262</v>
      </c>
      <c r="E17" s="275">
        <v>8.0094150430000011E-2</v>
      </c>
      <c r="F17" s="275">
        <v>6.5437341900000008E-3</v>
      </c>
      <c r="G17" s="275">
        <v>1.267342619E-2</v>
      </c>
      <c r="H17" s="62">
        <v>4.5909135E-3</v>
      </c>
      <c r="I17" s="62">
        <v>1.8160031999999999E-3</v>
      </c>
      <c r="J17" s="62">
        <v>1.1254507600000001E-3</v>
      </c>
      <c r="K17" s="62">
        <v>3.8282322999999997E-3</v>
      </c>
      <c r="L17" s="62">
        <v>2.5341464000000003E-4</v>
      </c>
      <c r="M17" s="62">
        <v>1.2114339500000001E-3</v>
      </c>
      <c r="N17" s="62">
        <v>5.3934664100000005E-3</v>
      </c>
      <c r="O17" s="62">
        <v>6.1982786619999994E-2</v>
      </c>
      <c r="P17" s="62">
        <v>7.8413031600000002E-3</v>
      </c>
      <c r="Q17" s="62">
        <v>1.1127160059999999E-2</v>
      </c>
      <c r="R17" s="62">
        <v>8.6181579999999999E-4</v>
      </c>
      <c r="S17" s="62">
        <v>4.16655863E-3</v>
      </c>
      <c r="T17" s="62">
        <v>0.15458789642999998</v>
      </c>
      <c r="U17" s="62">
        <v>1.9618763219999998E-2</v>
      </c>
      <c r="V17" s="88">
        <v>51</v>
      </c>
    </row>
    <row r="18" spans="2:22" ht="14" customHeight="1" x14ac:dyDescent="0.15">
      <c r="B18" s="2"/>
      <c r="C18" s="23" t="s">
        <v>221</v>
      </c>
      <c r="D18" s="289">
        <v>54831</v>
      </c>
      <c r="E18" s="275">
        <v>3.4096232146299998</v>
      </c>
      <c r="F18" s="275">
        <v>0.58492444207999994</v>
      </c>
      <c r="G18" s="275">
        <v>2.6406436197100001</v>
      </c>
      <c r="H18" s="62">
        <v>0.12233887894000001</v>
      </c>
      <c r="I18" s="62">
        <v>3.8526095159999996E-2</v>
      </c>
      <c r="J18" s="62">
        <v>3.4412261840000007E-2</v>
      </c>
      <c r="K18" s="62">
        <v>0.10795479874</v>
      </c>
      <c r="L18" s="62">
        <v>3.4118512400000004E-3</v>
      </c>
      <c r="M18" s="62">
        <v>3.6440738910000006E-2</v>
      </c>
      <c r="N18" s="62">
        <v>0.30830550127999989</v>
      </c>
      <c r="O18" s="62">
        <v>2.7795456032299999</v>
      </c>
      <c r="P18" s="62">
        <v>0.38453777671</v>
      </c>
      <c r="Q18" s="62">
        <v>0.40899469848999997</v>
      </c>
      <c r="R18" s="62">
        <v>2.556461971E-2</v>
      </c>
      <c r="S18" s="62">
        <v>5.1817773579999997E-2</v>
      </c>
      <c r="T18" s="62">
        <v>24.217048138959999</v>
      </c>
      <c r="U18" s="62">
        <v>1.0067763132000001</v>
      </c>
      <c r="V18" s="88">
        <v>52</v>
      </c>
    </row>
    <row r="19" spans="2:22" ht="14" customHeight="1" x14ac:dyDescent="0.15">
      <c r="B19" s="2"/>
      <c r="C19" s="23" t="s">
        <v>202</v>
      </c>
      <c r="D19" s="289">
        <v>44285</v>
      </c>
      <c r="E19" s="275">
        <v>1.9280571807600002</v>
      </c>
      <c r="F19" s="275">
        <v>4.9488063370000002E-2</v>
      </c>
      <c r="G19" s="275">
        <v>0.26701384568999997</v>
      </c>
      <c r="H19" s="62">
        <v>8.4802315419999996E-2</v>
      </c>
      <c r="I19" s="62">
        <v>6.5747570399999997E-2</v>
      </c>
      <c r="J19" s="62">
        <v>2.8302137129999998E-2</v>
      </c>
      <c r="K19" s="62">
        <v>9.3368690779999999E-2</v>
      </c>
      <c r="L19" s="62">
        <v>5.8714734920000004E-2</v>
      </c>
      <c r="M19" s="62">
        <v>2.5952533799999998E-3</v>
      </c>
      <c r="N19" s="62">
        <v>0.16830118861999999</v>
      </c>
      <c r="O19" s="62">
        <v>1.42894775663</v>
      </c>
      <c r="P19" s="62">
        <v>0.11616761108</v>
      </c>
      <c r="Q19" s="62">
        <v>0.14433390062000001</v>
      </c>
      <c r="R19" s="62">
        <v>1.5724613579999998E-2</v>
      </c>
      <c r="S19" s="62">
        <v>4.5869225119999996E-2</v>
      </c>
      <c r="T19" s="62">
        <v>3.4958179805</v>
      </c>
      <c r="U19" s="62">
        <v>0.36973155483999998</v>
      </c>
      <c r="V19" s="88">
        <v>53</v>
      </c>
    </row>
    <row r="20" spans="2:22" ht="14" customHeight="1" x14ac:dyDescent="0.15">
      <c r="B20" s="2"/>
      <c r="C20" s="23" t="s">
        <v>161</v>
      </c>
      <c r="D20" s="289">
        <v>6244</v>
      </c>
      <c r="E20" s="275">
        <v>0.24377170570000001</v>
      </c>
      <c r="F20" s="275">
        <v>5.0791966310000006E-2</v>
      </c>
      <c r="G20" s="275">
        <v>0.18872223893000001</v>
      </c>
      <c r="H20" s="62">
        <v>6.6609917499999994E-3</v>
      </c>
      <c r="I20" s="62">
        <v>2.6909865600000002E-3</v>
      </c>
      <c r="J20" s="62">
        <v>2.1006433999999998E-3</v>
      </c>
      <c r="K20" s="62">
        <v>1.141466098E-2</v>
      </c>
      <c r="L20" s="62">
        <v>1.6297837600000001E-3</v>
      </c>
      <c r="M20" s="62">
        <v>5.5683531000000005E-4</v>
      </c>
      <c r="N20" s="62">
        <v>2.7052652920000003E-2</v>
      </c>
      <c r="O20" s="62">
        <v>0.19264125994999998</v>
      </c>
      <c r="P20" s="62">
        <v>1.8671070120000001E-2</v>
      </c>
      <c r="Q20" s="62">
        <v>1.8275259110000001E-2</v>
      </c>
      <c r="R20" s="62">
        <v>3.2435487600000002E-3</v>
      </c>
      <c r="S20" s="62">
        <v>3.4816250500000001E-3</v>
      </c>
      <c r="T20" s="62">
        <v>1.6721536863199997</v>
      </c>
      <c r="U20" s="62">
        <v>9.1746027049999998E-2</v>
      </c>
      <c r="V20" s="88">
        <v>54</v>
      </c>
    </row>
    <row r="21" spans="2:22" ht="14" customHeight="1" x14ac:dyDescent="0.15">
      <c r="B21" s="2"/>
      <c r="C21" s="23" t="s">
        <v>188</v>
      </c>
      <c r="D21" s="289">
        <v>15424</v>
      </c>
      <c r="E21" s="275">
        <v>1.12183762051</v>
      </c>
      <c r="F21" s="275">
        <v>0.1155849842</v>
      </c>
      <c r="G21" s="275">
        <v>0.17184168227999999</v>
      </c>
      <c r="H21" s="62">
        <v>6.3099602699999993E-2</v>
      </c>
      <c r="I21" s="62">
        <v>1.465390764E-2</v>
      </c>
      <c r="J21" s="62">
        <v>1.1449490210000001E-2</v>
      </c>
      <c r="K21" s="62">
        <v>5.3489322700000001E-2</v>
      </c>
      <c r="L21" s="62">
        <v>1.0304974000000001E-4</v>
      </c>
      <c r="M21" s="62">
        <v>2.0685199999999999E-3</v>
      </c>
      <c r="N21" s="62">
        <v>8.123145706000004E-2</v>
      </c>
      <c r="O21" s="62">
        <v>0.89757663062999993</v>
      </c>
      <c r="P21" s="62">
        <v>0.12362940019999999</v>
      </c>
      <c r="Q21" s="62">
        <v>0.12982074629000001</v>
      </c>
      <c r="R21" s="62">
        <v>9.3853848600000001E-3</v>
      </c>
      <c r="S21" s="62">
        <v>1.58004099E-2</v>
      </c>
      <c r="T21" s="62">
        <v>2.0967941776500001</v>
      </c>
      <c r="U21" s="62">
        <v>0.21253887525999998</v>
      </c>
      <c r="V21" s="88">
        <v>55</v>
      </c>
    </row>
    <row r="22" spans="2:22" ht="14" customHeight="1" x14ac:dyDescent="0.15">
      <c r="B22" s="2"/>
      <c r="C22" s="23" t="s">
        <v>163</v>
      </c>
      <c r="D22" s="289">
        <v>4654</v>
      </c>
      <c r="E22" s="275">
        <v>0.28890777145000002</v>
      </c>
      <c r="F22" s="275">
        <v>5.8141117120000002E-2</v>
      </c>
      <c r="G22" s="275">
        <v>0.26936533945999996</v>
      </c>
      <c r="H22" s="62">
        <v>7.6587329799999992E-3</v>
      </c>
      <c r="I22" s="62">
        <v>2.2390494E-3</v>
      </c>
      <c r="J22" s="62">
        <v>1.93983846E-3</v>
      </c>
      <c r="K22" s="62">
        <v>9.7652069799999998E-3</v>
      </c>
      <c r="L22" s="62">
        <v>5.8673894999999995E-4</v>
      </c>
      <c r="M22" s="62">
        <v>1.4492538200000001E-3</v>
      </c>
      <c r="N22" s="62">
        <v>2.4407839260000001E-2</v>
      </c>
      <c r="O22" s="62">
        <v>0.24168094971000001</v>
      </c>
      <c r="P22" s="62">
        <v>3.7398699010000008E-2</v>
      </c>
      <c r="Q22" s="62">
        <v>3.8981411800000004E-2</v>
      </c>
      <c r="R22" s="62">
        <v>2.5223203400000001E-3</v>
      </c>
      <c r="S22" s="62">
        <v>4.47447377E-3</v>
      </c>
      <c r="T22" s="62">
        <v>1.87951512062</v>
      </c>
      <c r="U22" s="62">
        <v>7.2518003040000001E-2</v>
      </c>
      <c r="V22" s="88">
        <v>56</v>
      </c>
    </row>
    <row r="23" spans="2:22" ht="14" customHeight="1" x14ac:dyDescent="0.15">
      <c r="B23" s="2"/>
      <c r="C23" s="23" t="s">
        <v>158</v>
      </c>
      <c r="D23" s="289">
        <v>3380</v>
      </c>
      <c r="E23" s="275">
        <v>0.15283806346000001</v>
      </c>
      <c r="F23" s="275">
        <v>2.1861581960000001E-2</v>
      </c>
      <c r="G23" s="275">
        <v>8.5450815610000008E-2</v>
      </c>
      <c r="H23" s="62">
        <v>6.0985852899999998E-3</v>
      </c>
      <c r="I23" s="62">
        <v>4.4884169999999998E-3</v>
      </c>
      <c r="J23" s="62">
        <v>2.6000544700000004E-3</v>
      </c>
      <c r="K23" s="62">
        <v>5.7701125400000004E-3</v>
      </c>
      <c r="L23" s="62">
        <v>5.6242777000000007E-4</v>
      </c>
      <c r="M23" s="62">
        <v>2.4097128200000002E-3</v>
      </c>
      <c r="N23" s="62">
        <v>1.3733667320000004E-2</v>
      </c>
      <c r="O23" s="62">
        <v>0.11766587233</v>
      </c>
      <c r="P23" s="62">
        <v>1.0806870430000001E-2</v>
      </c>
      <c r="Q23" s="62">
        <v>1.0021825460000001E-2</v>
      </c>
      <c r="R23" s="62">
        <v>2.0959797799999999E-3</v>
      </c>
      <c r="S23" s="62">
        <v>1.3659640600000001E-3</v>
      </c>
      <c r="T23" s="62">
        <v>0.58947309533000003</v>
      </c>
      <c r="U23" s="62">
        <v>4.4939935630000004E-2</v>
      </c>
      <c r="V23" s="88">
        <v>57</v>
      </c>
    </row>
    <row r="24" spans="2:22" ht="14" customHeight="1" x14ac:dyDescent="0.15">
      <c r="B24" s="2"/>
      <c r="C24" s="23" t="s">
        <v>168</v>
      </c>
      <c r="D24" s="289">
        <v>4759</v>
      </c>
      <c r="E24" s="275">
        <v>0.36086009637999999</v>
      </c>
      <c r="F24" s="275">
        <v>8.484861329E-2</v>
      </c>
      <c r="G24" s="275">
        <v>0.47422174000999995</v>
      </c>
      <c r="H24" s="62">
        <v>5.8737372900000001E-3</v>
      </c>
      <c r="I24" s="62">
        <v>1.7706031200000001E-3</v>
      </c>
      <c r="J24" s="62">
        <v>1.2255736299999999E-3</v>
      </c>
      <c r="K24" s="62">
        <v>8.2508875700000005E-3</v>
      </c>
      <c r="L24" s="62">
        <v>3.3474344E-3</v>
      </c>
      <c r="M24" s="62">
        <v>2.2210756399999999E-3</v>
      </c>
      <c r="N24" s="62">
        <v>1.8253688630000001E-2</v>
      </c>
      <c r="O24" s="62">
        <v>0.32121917266</v>
      </c>
      <c r="P24" s="62">
        <v>6.5374277330000008E-2</v>
      </c>
      <c r="Q24" s="62">
        <v>6.7544579179999995E-2</v>
      </c>
      <c r="R24" s="62">
        <v>1.7571000800000001E-3</v>
      </c>
      <c r="S24" s="62">
        <v>4.1827832199999998E-3</v>
      </c>
      <c r="T24" s="62">
        <v>3.01326497706</v>
      </c>
      <c r="U24" s="62">
        <v>0.14922689401</v>
      </c>
      <c r="V24" s="88">
        <v>58</v>
      </c>
    </row>
    <row r="25" spans="2:22" ht="14" customHeight="1" x14ac:dyDescent="0.15">
      <c r="B25" s="2"/>
      <c r="C25" s="23" t="s">
        <v>155</v>
      </c>
      <c r="D25" s="289">
        <v>3368</v>
      </c>
      <c r="E25" s="275">
        <v>0.13408961024999999</v>
      </c>
      <c r="F25" s="275">
        <v>1.8007661710000001E-2</v>
      </c>
      <c r="G25" s="275">
        <v>0.19675178154</v>
      </c>
      <c r="H25" s="62">
        <v>1.67004386E-3</v>
      </c>
      <c r="I25" s="62">
        <v>1.56011184E-3</v>
      </c>
      <c r="J25" s="62">
        <v>8.0058396999999992E-4</v>
      </c>
      <c r="K25" s="62">
        <v>4.3752643700000005E-3</v>
      </c>
      <c r="L25" s="62">
        <v>2.3085974300000004E-3</v>
      </c>
      <c r="M25" s="62">
        <v>2.5347529399999996E-3</v>
      </c>
      <c r="N25" s="62">
        <v>1.4234612609999999E-2</v>
      </c>
      <c r="O25" s="62">
        <v>0.10738936519</v>
      </c>
      <c r="P25" s="62">
        <v>1.1973210550000002E-2</v>
      </c>
      <c r="Q25" s="62">
        <v>1.218985289E-2</v>
      </c>
      <c r="R25" s="62">
        <v>2.12739973E-3</v>
      </c>
      <c r="S25" s="62">
        <v>2.5150953200000002E-3</v>
      </c>
      <c r="T25" s="62">
        <v>1.1770710051000002</v>
      </c>
      <c r="U25" s="62">
        <v>0.17096898971999999</v>
      </c>
      <c r="V25" s="88">
        <v>59</v>
      </c>
    </row>
    <row r="26" spans="2:22" ht="14" customHeight="1" x14ac:dyDescent="0.15">
      <c r="B26" s="2"/>
      <c r="C26" s="23" t="s">
        <v>174</v>
      </c>
      <c r="D26" s="289">
        <v>12827</v>
      </c>
      <c r="E26" s="275">
        <v>0.52944524379000002</v>
      </c>
      <c r="F26" s="275">
        <v>6.9707962419999991E-2</v>
      </c>
      <c r="G26" s="275">
        <v>0.26048809027999997</v>
      </c>
      <c r="H26" s="62">
        <v>1.9169180889999998E-2</v>
      </c>
      <c r="I26" s="62">
        <v>9.4824258000000012E-3</v>
      </c>
      <c r="J26" s="62">
        <v>5.9599234900000004E-3</v>
      </c>
      <c r="K26" s="62">
        <v>1.8926536170000001E-2</v>
      </c>
      <c r="L26" s="62">
        <v>6.5300304899999998E-3</v>
      </c>
      <c r="M26" s="62">
        <v>5.8220362899999998E-3</v>
      </c>
      <c r="N26" s="62">
        <v>5.2980143689999995E-2</v>
      </c>
      <c r="O26" s="62">
        <v>0.41163901970999994</v>
      </c>
      <c r="P26" s="62">
        <v>3.8575149099999997E-2</v>
      </c>
      <c r="Q26" s="62">
        <v>3.7716669610000003E-2</v>
      </c>
      <c r="R26" s="62">
        <v>6.6467203600000004E-3</v>
      </c>
      <c r="S26" s="62">
        <v>6.2712908699999997E-3</v>
      </c>
      <c r="T26" s="62">
        <v>2.54021740547</v>
      </c>
      <c r="U26" s="62">
        <v>0.21748183803000001</v>
      </c>
      <c r="V26" s="88">
        <v>60</v>
      </c>
    </row>
    <row r="27" spans="2:22" ht="14" customHeight="1" x14ac:dyDescent="0.15">
      <c r="B27" s="2"/>
      <c r="C27" s="23" t="s">
        <v>190</v>
      </c>
      <c r="D27" s="289">
        <v>31412</v>
      </c>
      <c r="E27" s="275">
        <v>1.2045553844400001</v>
      </c>
      <c r="F27" s="275">
        <v>0.24140921476999999</v>
      </c>
      <c r="G27" s="275">
        <v>0.75218505971000005</v>
      </c>
      <c r="H27" s="62">
        <v>3.3076769639999996E-2</v>
      </c>
      <c r="I27" s="62">
        <v>1.6073691960000001E-2</v>
      </c>
      <c r="J27" s="62">
        <v>1.1942388119999999E-2</v>
      </c>
      <c r="K27" s="62">
        <v>3.6770541590000004E-2</v>
      </c>
      <c r="L27" s="62">
        <v>9.80877967E-3</v>
      </c>
      <c r="M27" s="62">
        <v>5.7509745100000004E-3</v>
      </c>
      <c r="N27" s="62">
        <v>0.1439264016</v>
      </c>
      <c r="O27" s="62">
        <v>0.95340011302000005</v>
      </c>
      <c r="P27" s="62">
        <v>8.2547305009999988E-2</v>
      </c>
      <c r="Q27" s="62">
        <v>8.7809897730000003E-2</v>
      </c>
      <c r="R27" s="62">
        <v>9.5541514000000004E-3</v>
      </c>
      <c r="S27" s="62">
        <v>1.7044357990000002E-2</v>
      </c>
      <c r="T27" s="62">
        <v>5.6985652592899996</v>
      </c>
      <c r="U27" s="62">
        <v>0.54511887935999992</v>
      </c>
      <c r="V27" s="88">
        <v>61</v>
      </c>
    </row>
    <row r="28" spans="2:22" ht="14" customHeight="1" x14ac:dyDescent="0.15">
      <c r="B28" s="2"/>
      <c r="C28" s="23" t="s">
        <v>154</v>
      </c>
      <c r="D28" s="289">
        <v>2492</v>
      </c>
      <c r="E28" s="275">
        <v>0.10646182243000001</v>
      </c>
      <c r="F28" s="275">
        <v>0.11296817461</v>
      </c>
      <c r="G28" s="275">
        <v>0.14203770503000002</v>
      </c>
      <c r="H28" s="62">
        <v>1.55867809E-3</v>
      </c>
      <c r="I28" s="62">
        <v>6.9751031999999995E-4</v>
      </c>
      <c r="J28" s="62">
        <v>5.3363493999999999E-4</v>
      </c>
      <c r="K28" s="62">
        <v>3.6454280699999998E-3</v>
      </c>
      <c r="L28" s="62">
        <v>1.0217217320000001E-2</v>
      </c>
      <c r="M28" s="62">
        <v>6.5798181999999995E-4</v>
      </c>
      <c r="N28" s="62">
        <v>1.0781484909999996E-2</v>
      </c>
      <c r="O28" s="62">
        <v>7.8673624420000005E-2</v>
      </c>
      <c r="P28" s="62">
        <v>7.9510719200000003E-3</v>
      </c>
      <c r="Q28" s="62">
        <v>7.1360173300000001E-3</v>
      </c>
      <c r="R28" s="62">
        <v>1.4075341400000001E-3</v>
      </c>
      <c r="S28" s="62">
        <v>1.0873997900000001E-3</v>
      </c>
      <c r="T28" s="62">
        <v>1.00912621204</v>
      </c>
      <c r="U28" s="62">
        <v>6.6829437929999999E-2</v>
      </c>
      <c r="V28" s="88">
        <v>62</v>
      </c>
    </row>
    <row r="29" spans="2:22" ht="14" customHeight="1" x14ac:dyDescent="0.15">
      <c r="B29" s="2"/>
      <c r="C29" s="23" t="s">
        <v>159</v>
      </c>
      <c r="D29" s="289">
        <v>7132</v>
      </c>
      <c r="E29" s="275">
        <v>0.17901511399999998</v>
      </c>
      <c r="F29" s="275">
        <v>1.9222877489999998E-2</v>
      </c>
      <c r="G29" s="275">
        <v>0.22882934214</v>
      </c>
      <c r="H29" s="62">
        <v>3.3879628500000001E-3</v>
      </c>
      <c r="I29" s="62">
        <v>1.9872853200000001E-3</v>
      </c>
      <c r="J29" s="62">
        <v>1.2578441399999998E-3</v>
      </c>
      <c r="K29" s="62">
        <v>3.9356928500000003E-3</v>
      </c>
      <c r="L29" s="62">
        <v>4.5962979400000006E-3</v>
      </c>
      <c r="M29" s="62">
        <v>3.2581591999999998E-4</v>
      </c>
      <c r="N29" s="62">
        <v>2.4214881329999997E-2</v>
      </c>
      <c r="O29" s="62">
        <v>0.14092989047999999</v>
      </c>
      <c r="P29" s="62">
        <v>8.4311420499999998E-3</v>
      </c>
      <c r="Q29" s="62">
        <v>6.9678968099999988E-3</v>
      </c>
      <c r="R29" s="62">
        <v>2.4382333099999998E-3</v>
      </c>
      <c r="S29" s="62">
        <v>1.1566244700000001E-3</v>
      </c>
      <c r="T29" s="62">
        <v>1.13584346527</v>
      </c>
      <c r="U29" s="62">
        <v>8.6292442460000007E-2</v>
      </c>
      <c r="V29" s="88">
        <v>63</v>
      </c>
    </row>
    <row r="30" spans="2:22" ht="14" customHeight="1" x14ac:dyDescent="0.15">
      <c r="B30" s="2"/>
      <c r="C30" s="23" t="s">
        <v>181</v>
      </c>
      <c r="D30" s="289">
        <v>18242</v>
      </c>
      <c r="E30" s="275">
        <v>0.78092115728999989</v>
      </c>
      <c r="F30" s="275">
        <v>0.14458889414000001</v>
      </c>
      <c r="G30" s="275">
        <v>0.53441450119</v>
      </c>
      <c r="H30" s="62">
        <v>2.4401633419999999E-2</v>
      </c>
      <c r="I30" s="62">
        <v>1.1164292400000001E-2</v>
      </c>
      <c r="J30" s="62">
        <v>8.2796572000000002E-3</v>
      </c>
      <c r="K30" s="62">
        <v>2.5141702670000002E-2</v>
      </c>
      <c r="L30" s="62">
        <v>3.4571958099999999E-3</v>
      </c>
      <c r="M30" s="62">
        <v>5.8498775199999995E-3</v>
      </c>
      <c r="N30" s="62">
        <v>8.036876842E-2</v>
      </c>
      <c r="O30" s="62">
        <v>0.62694167280999991</v>
      </c>
      <c r="P30" s="62">
        <v>6.8870118610000003E-2</v>
      </c>
      <c r="Q30" s="62">
        <v>7.4204224299999996E-2</v>
      </c>
      <c r="R30" s="62">
        <v>5.2402213400000001E-3</v>
      </c>
      <c r="S30" s="62">
        <v>1.2130360890000001E-2</v>
      </c>
      <c r="T30" s="62">
        <v>3.6141036848099999</v>
      </c>
      <c r="U30" s="62">
        <v>0.30915204113</v>
      </c>
      <c r="V30" s="88">
        <v>64</v>
      </c>
    </row>
    <row r="31" spans="2:22" ht="14" customHeight="1" x14ac:dyDescent="0.15">
      <c r="B31" s="2"/>
      <c r="C31" s="23" t="s">
        <v>246</v>
      </c>
      <c r="D31" s="289">
        <v>209776</v>
      </c>
      <c r="E31" s="275">
        <v>8.6641957193899994</v>
      </c>
      <c r="F31" s="275">
        <v>0.69408278656</v>
      </c>
      <c r="G31" s="275">
        <v>0.76020406765999993</v>
      </c>
      <c r="H31" s="62">
        <v>0.43855612357000001</v>
      </c>
      <c r="I31" s="62">
        <v>0.27581374056000002</v>
      </c>
      <c r="J31" s="62">
        <v>0.16470693518000001</v>
      </c>
      <c r="K31" s="62">
        <v>0.34045816619000002</v>
      </c>
      <c r="L31" s="62">
        <v>2.9787454999999998E-3</v>
      </c>
      <c r="M31" s="62">
        <v>6.9738747500000002E-3</v>
      </c>
      <c r="N31" s="62">
        <v>0.88513416213999996</v>
      </c>
      <c r="O31" s="62">
        <v>6.5902788992500003</v>
      </c>
      <c r="P31" s="62">
        <v>0.37659820872999999</v>
      </c>
      <c r="Q31" s="62">
        <v>0.43183198853000004</v>
      </c>
      <c r="R31" s="62">
        <v>6.2409249629999997E-2</v>
      </c>
      <c r="S31" s="62">
        <v>0.11820609160000001</v>
      </c>
      <c r="T31" s="62">
        <v>8.7812397373700009</v>
      </c>
      <c r="U31" s="62">
        <v>1.44060760367</v>
      </c>
      <c r="V31" s="88">
        <v>65</v>
      </c>
    </row>
    <row r="32" spans="2:22" ht="14" customHeight="1" x14ac:dyDescent="0.15">
      <c r="B32" s="2"/>
      <c r="C32" s="23" t="s">
        <v>269</v>
      </c>
      <c r="D32" s="289">
        <v>928698</v>
      </c>
      <c r="E32" s="275">
        <v>43.488264775380003</v>
      </c>
      <c r="F32" s="275">
        <v>3.5532294601099998</v>
      </c>
      <c r="G32" s="275">
        <v>3.4481992635000003</v>
      </c>
      <c r="H32" s="62">
        <v>2.3508321604</v>
      </c>
      <c r="I32" s="62">
        <v>1.6264785024000001</v>
      </c>
      <c r="J32" s="62">
        <v>0.92034410002</v>
      </c>
      <c r="K32" s="62">
        <v>2.0124868186600002</v>
      </c>
      <c r="L32" s="62">
        <v>8.4480811100000001E-3</v>
      </c>
      <c r="M32" s="62">
        <v>0.11086466773</v>
      </c>
      <c r="N32" s="62">
        <v>3.99146420786</v>
      </c>
      <c r="O32" s="62">
        <v>32.683602008440005</v>
      </c>
      <c r="P32" s="62">
        <v>2.1965950622000001</v>
      </c>
      <c r="Q32" s="62">
        <v>2.24349640363</v>
      </c>
      <c r="R32" s="62">
        <v>0.51243797452000006</v>
      </c>
      <c r="S32" s="62">
        <v>0.56242231159</v>
      </c>
      <c r="T32" s="62">
        <v>43.734082566829997</v>
      </c>
      <c r="U32" s="62">
        <v>6.0655344759099998</v>
      </c>
      <c r="V32" s="88">
        <v>66</v>
      </c>
    </row>
    <row r="33" spans="2:22" ht="14" customHeight="1" x14ac:dyDescent="0.15">
      <c r="B33" s="2"/>
      <c r="C33" s="23" t="s">
        <v>265</v>
      </c>
      <c r="D33" s="289">
        <v>502154</v>
      </c>
      <c r="E33" s="275">
        <v>27.089974701300001</v>
      </c>
      <c r="F33" s="275">
        <v>2.3873429527800001</v>
      </c>
      <c r="G33" s="275">
        <v>3.0226631793299998</v>
      </c>
      <c r="H33" s="62">
        <v>1.4401173968300001</v>
      </c>
      <c r="I33" s="62">
        <v>0.84139555535999999</v>
      </c>
      <c r="J33" s="62">
        <v>0.55807425525999999</v>
      </c>
      <c r="K33" s="62">
        <v>1.41901462581</v>
      </c>
      <c r="L33" s="62">
        <v>1.025164395E-2</v>
      </c>
      <c r="M33" s="62">
        <v>0.15165467501999999</v>
      </c>
      <c r="N33" s="62">
        <v>2.3419703339399991</v>
      </c>
      <c r="O33" s="62">
        <v>20.41908264053</v>
      </c>
      <c r="P33" s="62">
        <v>1.75198852959</v>
      </c>
      <c r="Q33" s="62">
        <v>1.6749320671200001</v>
      </c>
      <c r="R33" s="62">
        <v>0.42860360033</v>
      </c>
      <c r="S33" s="62">
        <v>0.35424318125999998</v>
      </c>
      <c r="T33" s="62">
        <v>36.838865240139995</v>
      </c>
      <c r="U33" s="62">
        <v>4.26407736099</v>
      </c>
      <c r="V33" s="88">
        <v>67</v>
      </c>
    </row>
    <row r="34" spans="2:22" ht="14" customHeight="1" x14ac:dyDescent="0.15">
      <c r="B34" s="2"/>
      <c r="C34" s="23" t="s">
        <v>211</v>
      </c>
      <c r="D34" s="289">
        <v>44726</v>
      </c>
      <c r="E34" s="275">
        <v>2.8700206856800001</v>
      </c>
      <c r="F34" s="275">
        <v>0.23928752018999999</v>
      </c>
      <c r="G34" s="275">
        <v>0.39076145356999997</v>
      </c>
      <c r="H34" s="62">
        <v>0.17190762854000002</v>
      </c>
      <c r="I34" s="62">
        <v>6.9883104959999998E-2</v>
      </c>
      <c r="J34" s="62">
        <v>5.0302754090000006E-2</v>
      </c>
      <c r="K34" s="62">
        <v>0.12835795079000001</v>
      </c>
      <c r="L34" s="62">
        <v>2.0686946399999999E-3</v>
      </c>
      <c r="M34" s="62">
        <v>2.7210623510000004E-2</v>
      </c>
      <c r="N34" s="62">
        <v>0.20867460191999998</v>
      </c>
      <c r="O34" s="62">
        <v>2.2197701185600001</v>
      </c>
      <c r="P34" s="62">
        <v>0.26477021557000002</v>
      </c>
      <c r="Q34" s="62">
        <v>0.27728945742</v>
      </c>
      <c r="R34" s="62">
        <v>2.6550091390000002E-2</v>
      </c>
      <c r="S34" s="62">
        <v>3.9329012529999999E-2</v>
      </c>
      <c r="T34" s="62">
        <v>5.4351477931199996</v>
      </c>
      <c r="U34" s="62">
        <v>0.68349349138999993</v>
      </c>
      <c r="V34" s="88">
        <v>68</v>
      </c>
    </row>
    <row r="35" spans="2:22" ht="14" customHeight="1" x14ac:dyDescent="0.15">
      <c r="B35" s="2"/>
      <c r="C35" s="23" t="s">
        <v>261</v>
      </c>
      <c r="D35" s="289">
        <v>209421</v>
      </c>
      <c r="E35" s="275">
        <v>23.083571141910003</v>
      </c>
      <c r="F35" s="275">
        <v>2.44029709507</v>
      </c>
      <c r="G35" s="275">
        <v>5.1176038459999997</v>
      </c>
      <c r="H35" s="62">
        <v>1.5504421587000001</v>
      </c>
      <c r="I35" s="62">
        <v>0.30639069444</v>
      </c>
      <c r="J35" s="62">
        <v>0.24995364089</v>
      </c>
      <c r="K35" s="62">
        <v>1.102673365</v>
      </c>
      <c r="L35" s="62">
        <v>7.1282810010000003E-2</v>
      </c>
      <c r="M35" s="62">
        <v>0.22588850157999998</v>
      </c>
      <c r="N35" s="62">
        <v>0.98854955729000027</v>
      </c>
      <c r="O35" s="62">
        <v>18.629484312550002</v>
      </c>
      <c r="P35" s="62">
        <v>3.2990199852299997</v>
      </c>
      <c r="Q35" s="62">
        <v>3.2650719556700003</v>
      </c>
      <c r="R35" s="62">
        <v>0.31955322717000001</v>
      </c>
      <c r="S35" s="62">
        <v>0.28788649363999996</v>
      </c>
      <c r="T35" s="62">
        <v>64.741216248710003</v>
      </c>
      <c r="U35" s="62">
        <v>5.5227784745199999</v>
      </c>
      <c r="V35" s="88">
        <v>69</v>
      </c>
    </row>
    <row r="36" spans="2:22" ht="14" customHeight="1" x14ac:dyDescent="0.15">
      <c r="B36" s="2"/>
      <c r="C36" s="23" t="s">
        <v>203</v>
      </c>
      <c r="D36" s="289">
        <v>53647</v>
      </c>
      <c r="E36" s="275">
        <v>1.90903168517</v>
      </c>
      <c r="F36" s="275">
        <v>0.18749083379000001</v>
      </c>
      <c r="G36" s="275">
        <v>0.62372126990999999</v>
      </c>
      <c r="H36" s="62">
        <v>6.9241094650000001E-2</v>
      </c>
      <c r="I36" s="62">
        <v>3.5333644079999997E-2</v>
      </c>
      <c r="J36" s="62">
        <v>2.465370255E-2</v>
      </c>
      <c r="K36" s="62">
        <v>6.2018167469999996E-2</v>
      </c>
      <c r="L36" s="62">
        <v>2.5186895290000001E-2</v>
      </c>
      <c r="M36" s="62">
        <v>8.5272526300000009E-3</v>
      </c>
      <c r="N36" s="62">
        <v>0.22325249143999995</v>
      </c>
      <c r="O36" s="62">
        <v>1.4700760322200002</v>
      </c>
      <c r="P36" s="62">
        <v>9.1175328979999998E-2</v>
      </c>
      <c r="Q36" s="62">
        <v>8.8301507789999997E-2</v>
      </c>
      <c r="R36" s="62">
        <v>1.9489874829999997E-2</v>
      </c>
      <c r="S36" s="62">
        <v>1.865255834E-2</v>
      </c>
      <c r="T36" s="62">
        <v>6.2419386153400005</v>
      </c>
      <c r="U36" s="62">
        <v>0.65579083767000002</v>
      </c>
      <c r="V36" s="88">
        <v>70</v>
      </c>
    </row>
    <row r="37" spans="2:22" ht="14" customHeight="1" x14ac:dyDescent="0.15">
      <c r="B37" s="2"/>
      <c r="C37" s="23" t="s">
        <v>243</v>
      </c>
      <c r="D37" s="289">
        <v>128142</v>
      </c>
      <c r="E37" s="275">
        <v>7.1733781468400002</v>
      </c>
      <c r="F37" s="275">
        <v>0.63562601957999998</v>
      </c>
      <c r="G37" s="275">
        <v>1.0026702646100001</v>
      </c>
      <c r="H37" s="62">
        <v>0.36967994165999996</v>
      </c>
      <c r="I37" s="62">
        <v>0.18098741891999998</v>
      </c>
      <c r="J37" s="62">
        <v>0.12898808364</v>
      </c>
      <c r="K37" s="62">
        <v>0.36798796167000003</v>
      </c>
      <c r="L37" s="62">
        <v>7.6137444500000004E-3</v>
      </c>
      <c r="M37" s="62">
        <v>1.5888450340000002E-2</v>
      </c>
      <c r="N37" s="62">
        <v>0.60122562295999993</v>
      </c>
      <c r="O37" s="62">
        <v>5.5239590214300005</v>
      </c>
      <c r="P37" s="62">
        <v>0.55210463180000002</v>
      </c>
      <c r="Q37" s="62">
        <v>0.55284121742000003</v>
      </c>
      <c r="R37" s="62">
        <v>9.6944611079999993E-2</v>
      </c>
      <c r="S37" s="62">
        <v>9.8910566460000002E-2</v>
      </c>
      <c r="T37" s="62">
        <v>11.00590798472</v>
      </c>
      <c r="U37" s="62">
        <v>1.45622874571</v>
      </c>
      <c r="V37" s="88">
        <v>71</v>
      </c>
    </row>
    <row r="38" spans="2:22" ht="14" customHeight="1" x14ac:dyDescent="0.15">
      <c r="B38" s="2"/>
      <c r="C38" s="23" t="s">
        <v>193</v>
      </c>
      <c r="D38" s="289">
        <v>22128</v>
      </c>
      <c r="E38" s="275">
        <v>1.3525029236699999</v>
      </c>
      <c r="F38" s="275">
        <v>0.16736234791999999</v>
      </c>
      <c r="G38" s="275">
        <v>0.15580356465</v>
      </c>
      <c r="H38" s="62">
        <v>9.2152839759999994E-2</v>
      </c>
      <c r="I38" s="62">
        <v>4.3594395000000001E-2</v>
      </c>
      <c r="J38" s="62">
        <v>3.1953817780000005E-2</v>
      </c>
      <c r="K38" s="62">
        <v>5.1904973100000001E-2</v>
      </c>
      <c r="L38" s="62">
        <v>2.19550129E-3</v>
      </c>
      <c r="M38" s="62">
        <v>1.654272381E-2</v>
      </c>
      <c r="N38" s="62">
        <v>8.9306132580000003E-2</v>
      </c>
      <c r="O38" s="62">
        <v>1.0338849621699999</v>
      </c>
      <c r="P38" s="62">
        <v>0.11906760022000001</v>
      </c>
      <c r="Q38" s="62">
        <v>0.12832971823</v>
      </c>
      <c r="R38" s="62">
        <v>8.4378023199999999E-3</v>
      </c>
      <c r="S38" s="62">
        <v>1.7723480449999999E-2</v>
      </c>
      <c r="T38" s="62">
        <v>2.3113918707600001</v>
      </c>
      <c r="U38" s="62">
        <v>0.26976474136999995</v>
      </c>
      <c r="V38" s="88">
        <v>72</v>
      </c>
    </row>
    <row r="39" spans="2:22" ht="14" customHeight="1" x14ac:dyDescent="0.15">
      <c r="B39" s="2"/>
      <c r="C39" s="23" t="s">
        <v>199</v>
      </c>
      <c r="D39" s="289">
        <v>32884</v>
      </c>
      <c r="E39" s="275">
        <v>1.6491053394500002</v>
      </c>
      <c r="F39" s="275">
        <v>0.16357123209999999</v>
      </c>
      <c r="G39" s="275">
        <v>0.29237262460000002</v>
      </c>
      <c r="H39" s="62">
        <v>8.3112294410000009E-2</v>
      </c>
      <c r="I39" s="62">
        <v>5.5047596999999997E-2</v>
      </c>
      <c r="J39" s="62">
        <v>3.7415652590000001E-2</v>
      </c>
      <c r="K39" s="62">
        <v>5.4308502930000002E-2</v>
      </c>
      <c r="L39" s="62">
        <v>2.2557427719999999E-2</v>
      </c>
      <c r="M39" s="62">
        <v>1.9756810539999999E-2</v>
      </c>
      <c r="N39" s="62">
        <v>0.13362472228999994</v>
      </c>
      <c r="O39" s="62">
        <v>1.2491650463499999</v>
      </c>
      <c r="P39" s="62">
        <v>0.11789373138999999</v>
      </c>
      <c r="Q39" s="62">
        <v>0.13581312483999999</v>
      </c>
      <c r="R39" s="62">
        <v>1.1024900179999998E-2</v>
      </c>
      <c r="S39" s="62">
        <v>2.9387156400000003E-2</v>
      </c>
      <c r="T39" s="62">
        <v>2.9919620030300003</v>
      </c>
      <c r="U39" s="62">
        <v>0.33277397552999999</v>
      </c>
      <c r="V39" s="88">
        <v>73</v>
      </c>
    </row>
    <row r="40" spans="2:22" ht="14" customHeight="1" x14ac:dyDescent="0.15">
      <c r="B40" s="2"/>
      <c r="C40" s="23" t="s">
        <v>241</v>
      </c>
      <c r="D40" s="289">
        <v>77264</v>
      </c>
      <c r="E40" s="275">
        <v>4.9922929522699997</v>
      </c>
      <c r="F40" s="275">
        <v>0.64672948675999997</v>
      </c>
      <c r="G40" s="275">
        <v>0.88279394726999993</v>
      </c>
      <c r="H40" s="62">
        <v>0.35450194907999999</v>
      </c>
      <c r="I40" s="62">
        <v>0.19347037727999999</v>
      </c>
      <c r="J40" s="62">
        <v>0.14911832730000002</v>
      </c>
      <c r="K40" s="62">
        <v>0.20764031712</v>
      </c>
      <c r="L40" s="62">
        <v>2.2920281400000001E-3</v>
      </c>
      <c r="M40" s="62">
        <v>8.4908555789999993E-2</v>
      </c>
      <c r="N40" s="62">
        <v>0.27066012195</v>
      </c>
      <c r="O40" s="62">
        <v>3.7439731143800001</v>
      </c>
      <c r="P40" s="62">
        <v>0.44948822724000004</v>
      </c>
      <c r="Q40" s="62">
        <v>0.49700067407000004</v>
      </c>
      <c r="R40" s="62">
        <v>3.1779430070000003E-2</v>
      </c>
      <c r="S40" s="62">
        <v>7.9684637830000002E-2</v>
      </c>
      <c r="T40" s="62">
        <v>10.28328292824</v>
      </c>
      <c r="U40" s="62">
        <v>0.98781933799999999</v>
      </c>
      <c r="V40" s="88">
        <v>74</v>
      </c>
    </row>
    <row r="41" spans="2:22" ht="14" customHeight="1" x14ac:dyDescent="0.15">
      <c r="B41" s="2"/>
      <c r="C41" s="23" t="s">
        <v>214</v>
      </c>
      <c r="D41" s="289">
        <v>34563</v>
      </c>
      <c r="E41" s="275">
        <v>2.2870483928500001</v>
      </c>
      <c r="F41" s="275">
        <v>0.29640259759999998</v>
      </c>
      <c r="G41" s="275">
        <v>0.27231807849</v>
      </c>
      <c r="H41" s="62">
        <v>0.14933600717000001</v>
      </c>
      <c r="I41" s="62">
        <v>8.9813740079999996E-2</v>
      </c>
      <c r="J41" s="62">
        <v>7.1829591450000008E-2</v>
      </c>
      <c r="K41" s="62">
        <v>9.0869254069999988E-2</v>
      </c>
      <c r="L41" s="62">
        <v>1.2285446399999999E-3</v>
      </c>
      <c r="M41" s="62">
        <v>3.6398557259999999E-2</v>
      </c>
      <c r="N41" s="62">
        <v>0.12697399414000005</v>
      </c>
      <c r="O41" s="62">
        <v>1.72526903866</v>
      </c>
      <c r="P41" s="62">
        <v>0.20896931352999998</v>
      </c>
      <c r="Q41" s="62">
        <v>0.23440189055999999</v>
      </c>
      <c r="R41" s="62">
        <v>1.2536400570000002E-2</v>
      </c>
      <c r="S41" s="62">
        <v>3.8168514619999996E-2</v>
      </c>
      <c r="T41" s="62">
        <v>4.1264243050400005</v>
      </c>
      <c r="U41" s="62">
        <v>0.44804099774</v>
      </c>
      <c r="V41" s="88">
        <v>75</v>
      </c>
    </row>
    <row r="42" spans="2:22" ht="14" customHeight="1" x14ac:dyDescent="0.15">
      <c r="B42" s="2"/>
      <c r="C42" s="23" t="s">
        <v>164</v>
      </c>
      <c r="D42" s="289">
        <v>3406</v>
      </c>
      <c r="E42" s="275">
        <v>0.2545978545</v>
      </c>
      <c r="F42" s="275">
        <v>4.5655189830000005E-2</v>
      </c>
      <c r="G42" s="275">
        <v>2.6617662560000005E-2</v>
      </c>
      <c r="H42" s="62">
        <v>1.7418350949999998E-2</v>
      </c>
      <c r="I42" s="62">
        <v>9.5071894800000008E-3</v>
      </c>
      <c r="J42" s="62">
        <v>8.568195130000001E-3</v>
      </c>
      <c r="K42" s="62">
        <v>1.1393009650000001E-2</v>
      </c>
      <c r="L42" s="62">
        <v>3.3450658E-4</v>
      </c>
      <c r="M42" s="62">
        <v>4.6429840199999992E-3</v>
      </c>
      <c r="N42" s="62">
        <v>1.165518124E-2</v>
      </c>
      <c r="O42" s="62">
        <v>0.19124034320000002</v>
      </c>
      <c r="P42" s="62">
        <v>2.6042938040000001E-2</v>
      </c>
      <c r="Q42" s="62">
        <v>2.9142655670000003E-2</v>
      </c>
      <c r="R42" s="62">
        <v>1.61868563E-3</v>
      </c>
      <c r="S42" s="62">
        <v>4.7201993799999998E-3</v>
      </c>
      <c r="T42" s="62">
        <v>0.44093745349000002</v>
      </c>
      <c r="U42" s="62">
        <v>4.531203097E-2</v>
      </c>
      <c r="V42" s="88">
        <v>76</v>
      </c>
    </row>
    <row r="43" spans="2:22" ht="14" customHeight="1" x14ac:dyDescent="0.15">
      <c r="B43" s="2"/>
      <c r="C43" s="23" t="s">
        <v>217</v>
      </c>
      <c r="D43" s="289">
        <v>54959</v>
      </c>
      <c r="E43" s="275">
        <v>2.54400670816</v>
      </c>
      <c r="F43" s="275">
        <v>0.26229659635000002</v>
      </c>
      <c r="G43" s="275">
        <v>0.58180595808999991</v>
      </c>
      <c r="H43" s="62">
        <v>0.13947236188000001</v>
      </c>
      <c r="I43" s="62">
        <v>7.579543356E-2</v>
      </c>
      <c r="J43" s="62">
        <v>5.4120505469999997E-2</v>
      </c>
      <c r="K43" s="62">
        <v>9.3104422370000009E-2</v>
      </c>
      <c r="L43" s="62">
        <v>5.8650360999999993E-3</v>
      </c>
      <c r="M43" s="62">
        <v>3.0205409450000002E-2</v>
      </c>
      <c r="N43" s="62">
        <v>0.21856415013999997</v>
      </c>
      <c r="O43" s="62">
        <v>1.93678036257</v>
      </c>
      <c r="P43" s="62">
        <v>0.17396117730999999</v>
      </c>
      <c r="Q43" s="62">
        <v>0.19129500151000001</v>
      </c>
      <c r="R43" s="62">
        <v>1.6335491819999999E-2</v>
      </c>
      <c r="S43" s="62">
        <v>3.4304179899999995E-2</v>
      </c>
      <c r="T43" s="62">
        <v>5.47109567575</v>
      </c>
      <c r="U43" s="62">
        <v>0.65994744002999994</v>
      </c>
      <c r="V43" s="88">
        <v>77</v>
      </c>
    </row>
    <row r="44" spans="2:22" ht="14" customHeight="1" x14ac:dyDescent="0.15">
      <c r="B44" s="2"/>
      <c r="C44" s="23" t="s">
        <v>184</v>
      </c>
      <c r="D44" s="289">
        <v>17260</v>
      </c>
      <c r="E44" s="275">
        <v>0.89658428977000004</v>
      </c>
      <c r="F44" s="275">
        <v>9.1964253949999991E-2</v>
      </c>
      <c r="G44" s="275">
        <v>0.22627681495999999</v>
      </c>
      <c r="H44" s="62">
        <v>4.0149005899999993E-2</v>
      </c>
      <c r="I44" s="62">
        <v>2.4592397879999998E-2</v>
      </c>
      <c r="J44" s="62">
        <v>1.7614999860000001E-2</v>
      </c>
      <c r="K44" s="62">
        <v>2.9912529440000002E-2</v>
      </c>
      <c r="L44" s="62">
        <v>2.01645346E-3</v>
      </c>
      <c r="M44" s="62">
        <v>8.644234839999999E-3</v>
      </c>
      <c r="N44" s="62">
        <v>8.0559050389999998E-2</v>
      </c>
      <c r="O44" s="62">
        <v>0.69556683646000006</v>
      </c>
      <c r="P44" s="62">
        <v>6.9578284779999999E-2</v>
      </c>
      <c r="Q44" s="62">
        <v>7.599647726E-2</v>
      </c>
      <c r="R44" s="62">
        <v>6.2909807499999994E-3</v>
      </c>
      <c r="S44" s="62">
        <v>1.3122362609999999E-2</v>
      </c>
      <c r="T44" s="62">
        <v>2.2530662351599999</v>
      </c>
      <c r="U44" s="62">
        <v>0.24016471756999999</v>
      </c>
      <c r="V44" s="88">
        <v>78</v>
      </c>
    </row>
    <row r="45" spans="2:22" ht="14" customHeight="1" x14ac:dyDescent="0.15">
      <c r="B45" s="2"/>
      <c r="C45" s="23" t="s">
        <v>235</v>
      </c>
      <c r="D45" s="289">
        <v>75403</v>
      </c>
      <c r="E45" s="275">
        <v>4.7571649809999998</v>
      </c>
      <c r="F45" s="275">
        <v>0.57384879807</v>
      </c>
      <c r="G45" s="275">
        <v>0.72842204457000004</v>
      </c>
      <c r="H45" s="62">
        <v>0.30964726211000004</v>
      </c>
      <c r="I45" s="62">
        <v>0.15111829356000001</v>
      </c>
      <c r="J45" s="62">
        <v>0.1180677774</v>
      </c>
      <c r="K45" s="62">
        <v>0.17173997675</v>
      </c>
      <c r="L45" s="62">
        <v>6.26797812E-3</v>
      </c>
      <c r="M45" s="62">
        <v>6.7707421279999999E-2</v>
      </c>
      <c r="N45" s="62">
        <v>0.30710118283999999</v>
      </c>
      <c r="O45" s="62">
        <v>3.6475332389400004</v>
      </c>
      <c r="P45" s="62">
        <v>0.44055257973</v>
      </c>
      <c r="Q45" s="62">
        <v>0.48720151690000002</v>
      </c>
      <c r="R45" s="62">
        <v>2.6902568250000002E-2</v>
      </c>
      <c r="S45" s="62">
        <v>7.4489092179999994E-2</v>
      </c>
      <c r="T45" s="62">
        <v>8.8658962459200001</v>
      </c>
      <c r="U45" s="62">
        <v>1.2130879370900001</v>
      </c>
      <c r="V45" s="88">
        <v>79</v>
      </c>
    </row>
    <row r="46" spans="2:22" ht="14" customHeight="1" x14ac:dyDescent="0.15">
      <c r="B46" s="2"/>
      <c r="C46" s="23" t="s">
        <v>150</v>
      </c>
      <c r="D46" s="289">
        <v>2141</v>
      </c>
      <c r="E46" s="275">
        <v>0.1007825537</v>
      </c>
      <c r="F46" s="275">
        <v>8.5611966199999993E-3</v>
      </c>
      <c r="G46" s="275">
        <v>1.1418071589999999E-2</v>
      </c>
      <c r="H46" s="62">
        <v>6.7919529899999991E-3</v>
      </c>
      <c r="I46" s="62">
        <v>2.57335908E-3</v>
      </c>
      <c r="J46" s="62">
        <v>1.64250522E-3</v>
      </c>
      <c r="K46" s="62">
        <v>4.1082290800000002E-3</v>
      </c>
      <c r="L46" s="62">
        <v>3.6353750000000001E-5</v>
      </c>
      <c r="M46" s="62">
        <v>9.0732509000000002E-4</v>
      </c>
      <c r="N46" s="62">
        <v>9.8600663599999992E-3</v>
      </c>
      <c r="O46" s="62">
        <v>7.6999243019999997E-2</v>
      </c>
      <c r="P46" s="62">
        <v>5.8367482599999999E-3</v>
      </c>
      <c r="Q46" s="62">
        <v>6.4190216100000006E-3</v>
      </c>
      <c r="R46" s="62">
        <v>7.6640667E-4</v>
      </c>
      <c r="S46" s="62">
        <v>1.35571042E-3</v>
      </c>
      <c r="T46" s="62">
        <v>0.12800240470999999</v>
      </c>
      <c r="U46" s="62">
        <v>2.2519257799999998E-2</v>
      </c>
      <c r="V46" s="88">
        <v>80</v>
      </c>
    </row>
    <row r="47" spans="2:22" ht="14" customHeight="1" x14ac:dyDescent="0.15">
      <c r="B47" s="2"/>
      <c r="C47" s="23" t="s">
        <v>182</v>
      </c>
      <c r="D47" s="289">
        <v>15257</v>
      </c>
      <c r="E47" s="275">
        <v>0.7804252116999999</v>
      </c>
      <c r="F47" s="275">
        <v>8.0010866949999995E-2</v>
      </c>
      <c r="G47" s="275">
        <v>0.15310002678000001</v>
      </c>
      <c r="H47" s="62">
        <v>4.7306438139999997E-2</v>
      </c>
      <c r="I47" s="62">
        <v>3.4173878399999996E-2</v>
      </c>
      <c r="J47" s="62">
        <v>1.5839667380000002E-2</v>
      </c>
      <c r="K47" s="62">
        <v>3.4951616249999998E-2</v>
      </c>
      <c r="L47" s="62">
        <v>1.5856673100000001E-3</v>
      </c>
      <c r="M47" s="62">
        <v>1.1675252649999999E-2</v>
      </c>
      <c r="N47" s="62">
        <v>5.4991533619999977E-2</v>
      </c>
      <c r="O47" s="62">
        <v>0.58415398824999998</v>
      </c>
      <c r="P47" s="62">
        <v>5.112592413E-2</v>
      </c>
      <c r="Q47" s="62">
        <v>5.4134362110000001E-2</v>
      </c>
      <c r="R47" s="62">
        <v>7.7276957300000003E-3</v>
      </c>
      <c r="S47" s="62">
        <v>1.0802722320000001E-2</v>
      </c>
      <c r="T47" s="62">
        <v>2.48509865683</v>
      </c>
      <c r="U47" s="62">
        <v>0.61208190695999998</v>
      </c>
      <c r="V47" s="88">
        <v>81</v>
      </c>
    </row>
    <row r="48" spans="2:22" ht="14" customHeight="1" x14ac:dyDescent="0.15">
      <c r="B48" s="2"/>
      <c r="C48" s="23" t="s">
        <v>222</v>
      </c>
      <c r="D48" s="289">
        <v>108173</v>
      </c>
      <c r="E48" s="275">
        <v>4.3732617890099998</v>
      </c>
      <c r="F48" s="275">
        <v>0.34644212699999999</v>
      </c>
      <c r="G48" s="275">
        <v>0.27571684208000002</v>
      </c>
      <c r="H48" s="62">
        <v>0.23915492362999999</v>
      </c>
      <c r="I48" s="62">
        <v>0.17314145964</v>
      </c>
      <c r="J48" s="62">
        <v>0.11578768420999999</v>
      </c>
      <c r="K48" s="62">
        <v>0.19136022903</v>
      </c>
      <c r="L48" s="62">
        <v>9.874857150000001E-3</v>
      </c>
      <c r="M48" s="62">
        <v>2.3264645E-2</v>
      </c>
      <c r="N48" s="62">
        <v>0.40392231123000011</v>
      </c>
      <c r="O48" s="62">
        <v>3.2462671993600001</v>
      </c>
      <c r="P48" s="62">
        <v>0.16191632254999999</v>
      </c>
      <c r="Q48" s="62">
        <v>0.15922066495000001</v>
      </c>
      <c r="R48" s="62">
        <v>4.7024208339999998E-2</v>
      </c>
      <c r="S48" s="62">
        <v>4.4568708429999999E-2</v>
      </c>
      <c r="T48" s="62">
        <v>3.3027154244300001</v>
      </c>
      <c r="U48" s="62">
        <v>0.73302680866000003</v>
      </c>
      <c r="V48" s="88">
        <v>82</v>
      </c>
    </row>
    <row r="49" spans="2:22" ht="14" customHeight="1" x14ac:dyDescent="0.15">
      <c r="B49" s="2"/>
      <c r="C49" s="23" t="s">
        <v>146</v>
      </c>
      <c r="D49" s="289">
        <v>1319</v>
      </c>
      <c r="E49" s="275">
        <v>6.2671623009999997E-2</v>
      </c>
      <c r="F49" s="275">
        <v>4.8838428199999995E-3</v>
      </c>
      <c r="G49" s="275">
        <v>1.0811125139999999E-2</v>
      </c>
      <c r="H49" s="62">
        <v>3.6050040900000003E-3</v>
      </c>
      <c r="I49" s="62">
        <v>1.7912395200000001E-3</v>
      </c>
      <c r="J49" s="62">
        <v>1.0349571199999999E-3</v>
      </c>
      <c r="K49" s="62">
        <v>4.5574903499999994E-3</v>
      </c>
      <c r="L49" s="62">
        <v>2.3521748E-4</v>
      </c>
      <c r="M49" s="62">
        <v>6.8303484999999997E-4</v>
      </c>
      <c r="N49" s="62">
        <v>5.5979899700000016E-3</v>
      </c>
      <c r="O49" s="62">
        <v>4.7614485960000001E-2</v>
      </c>
      <c r="P49" s="62">
        <v>4.0618755899999998E-3</v>
      </c>
      <c r="Q49" s="62">
        <v>4.58257765E-3</v>
      </c>
      <c r="R49" s="62">
        <v>3.4268699000000003E-4</v>
      </c>
      <c r="S49" s="62">
        <v>8.7271728999999999E-4</v>
      </c>
      <c r="T49" s="62">
        <v>0.10805956218</v>
      </c>
      <c r="U49" s="62">
        <v>1.8127886650000001E-2</v>
      </c>
      <c r="V49" s="88">
        <v>83</v>
      </c>
    </row>
    <row r="50" spans="2:22" ht="14" customHeight="1" x14ac:dyDescent="0.15">
      <c r="B50" s="2"/>
      <c r="C50" s="23" t="s">
        <v>201</v>
      </c>
      <c r="D50" s="289">
        <v>41232</v>
      </c>
      <c r="E50" s="275">
        <v>1.94230862325</v>
      </c>
      <c r="F50" s="275">
        <v>0.15449417807999999</v>
      </c>
      <c r="G50" s="275">
        <v>0.18545436543999999</v>
      </c>
      <c r="H50" s="62">
        <v>0.10479165754</v>
      </c>
      <c r="I50" s="62">
        <v>7.120796184E-2</v>
      </c>
      <c r="J50" s="62">
        <v>4.8590144740000001E-2</v>
      </c>
      <c r="K50" s="62">
        <v>9.060936436E-2</v>
      </c>
      <c r="L50" s="62">
        <v>9.0066506499999997E-3</v>
      </c>
      <c r="M50" s="62">
        <v>2.6663833760000002E-2</v>
      </c>
      <c r="N50" s="62">
        <v>0.16737028228000006</v>
      </c>
      <c r="O50" s="62">
        <v>1.4329816230499999</v>
      </c>
      <c r="P50" s="62">
        <v>9.9196225979999997E-2</v>
      </c>
      <c r="Q50" s="62">
        <v>7.7565149909999992E-2</v>
      </c>
      <c r="R50" s="62">
        <v>3.652975906E-2</v>
      </c>
      <c r="S50" s="62">
        <v>1.500150143E-2</v>
      </c>
      <c r="T50" s="62">
        <v>2.2098711135000002</v>
      </c>
      <c r="U50" s="62">
        <v>0.38683454667999995</v>
      </c>
      <c r="V50" s="88">
        <v>84</v>
      </c>
    </row>
    <row r="51" spans="2:22" ht="14" customHeight="1" x14ac:dyDescent="0.15">
      <c r="B51" s="2"/>
      <c r="C51" s="23" t="s">
        <v>153</v>
      </c>
      <c r="D51" s="289">
        <v>2464</v>
      </c>
      <c r="E51" s="275">
        <v>0.11443730799</v>
      </c>
      <c r="F51" s="275">
        <v>9.7419194700000006E-3</v>
      </c>
      <c r="G51" s="275">
        <v>1.6562939959999998E-2</v>
      </c>
      <c r="H51" s="62">
        <v>5.1134572700000007E-3</v>
      </c>
      <c r="I51" s="62">
        <v>2.88290508E-3</v>
      </c>
      <c r="J51" s="62">
        <v>2.1961509900000004E-3</v>
      </c>
      <c r="K51" s="62">
        <v>4.1028661499999996E-3</v>
      </c>
      <c r="L51" s="62">
        <v>1.4457137000000001E-4</v>
      </c>
      <c r="M51" s="62">
        <v>7.3917977000000003E-4</v>
      </c>
      <c r="N51" s="62">
        <v>1.1478538970000002E-2</v>
      </c>
      <c r="O51" s="62">
        <v>8.7804031569999996E-2</v>
      </c>
      <c r="P51" s="62">
        <v>6.9692475800000007E-3</v>
      </c>
      <c r="Q51" s="62">
        <v>7.0480521600000002E-3</v>
      </c>
      <c r="R51" s="62">
        <v>1.20737556E-3</v>
      </c>
      <c r="S51" s="62">
        <v>1.2884185100000001E-3</v>
      </c>
      <c r="T51" s="62">
        <v>0.22011938237000001</v>
      </c>
      <c r="U51" s="62">
        <v>2.9306192490000001E-2</v>
      </c>
      <c r="V51" s="88">
        <v>85</v>
      </c>
    </row>
    <row r="52" spans="2:22" ht="14" customHeight="1" x14ac:dyDescent="0.15">
      <c r="B52" s="2"/>
      <c r="C52" s="23" t="s">
        <v>144</v>
      </c>
      <c r="D52" s="289">
        <v>532</v>
      </c>
      <c r="E52" s="275">
        <v>2.727792259E-2</v>
      </c>
      <c r="F52" s="275">
        <v>1.95064663E-3</v>
      </c>
      <c r="G52" s="275">
        <v>1.78935963E-3</v>
      </c>
      <c r="H52" s="62">
        <v>1.5514766099999999E-3</v>
      </c>
      <c r="I52" s="62">
        <v>1.0896019199999999E-3</v>
      </c>
      <c r="J52" s="62">
        <v>6.255480699999999E-4</v>
      </c>
      <c r="K52" s="62">
        <v>1.2425917599999999E-3</v>
      </c>
      <c r="L52" s="62">
        <v>1.499E-5</v>
      </c>
      <c r="M52" s="62">
        <v>6.7994449000000003E-4</v>
      </c>
      <c r="N52" s="62">
        <v>2.2100911499999994E-3</v>
      </c>
      <c r="O52" s="62">
        <v>1.9870309350000004E-2</v>
      </c>
      <c r="P52" s="62">
        <v>1.53331981E-3</v>
      </c>
      <c r="Q52" s="62">
        <v>1.6519851199999999E-3</v>
      </c>
      <c r="R52" s="62">
        <v>3.1619929999999997E-4</v>
      </c>
      <c r="S52" s="62">
        <v>4.3486163000000001E-4</v>
      </c>
      <c r="T52" s="62">
        <v>2.6156626090000003E-2</v>
      </c>
      <c r="U52" s="62">
        <v>4.7817236899999997E-3</v>
      </c>
      <c r="V52" s="88">
        <v>86</v>
      </c>
    </row>
    <row r="53" spans="2:22" ht="14" customHeight="1" x14ac:dyDescent="0.15">
      <c r="B53" s="2"/>
      <c r="C53" s="23" t="s">
        <v>197</v>
      </c>
      <c r="D53" s="289">
        <v>20513</v>
      </c>
      <c r="E53" s="275">
        <v>1.54118365519</v>
      </c>
      <c r="F53" s="275">
        <v>0.18807722373999999</v>
      </c>
      <c r="G53" s="275">
        <v>0.26454853141000001</v>
      </c>
      <c r="H53" s="62">
        <v>9.5942798020000011E-2</v>
      </c>
      <c r="I53" s="62">
        <v>5.9901278280000005E-2</v>
      </c>
      <c r="J53" s="62">
        <v>5.1923548840000007E-2</v>
      </c>
      <c r="K53" s="62">
        <v>7.1621854200000001E-2</v>
      </c>
      <c r="L53" s="62">
        <v>5.9796631999999993E-4</v>
      </c>
      <c r="M53" s="62">
        <v>4.0688802539999999E-2</v>
      </c>
      <c r="N53" s="62">
        <v>7.1487160009999995E-2</v>
      </c>
      <c r="O53" s="62">
        <v>1.15194625311</v>
      </c>
      <c r="P53" s="62">
        <v>0.15516405229000002</v>
      </c>
      <c r="Q53" s="62">
        <v>0.17598894323</v>
      </c>
      <c r="R53" s="62">
        <v>9.3979507100000002E-3</v>
      </c>
      <c r="S53" s="62">
        <v>3.0495156410000002E-2</v>
      </c>
      <c r="T53" s="62">
        <v>2.8884226024499995</v>
      </c>
      <c r="U53" s="62">
        <v>0.25930538792000002</v>
      </c>
      <c r="V53" s="88">
        <v>87</v>
      </c>
    </row>
    <row r="54" spans="2:22" ht="14" customHeight="1" x14ac:dyDescent="0.15">
      <c r="B54" s="2"/>
      <c r="C54" s="23" t="s">
        <v>187</v>
      </c>
      <c r="D54" s="289">
        <v>30252</v>
      </c>
      <c r="E54" s="275">
        <v>1.3052348874100002</v>
      </c>
      <c r="F54" s="275">
        <v>0.13779330334000001</v>
      </c>
      <c r="G54" s="275">
        <v>0.24009672182</v>
      </c>
      <c r="H54" s="62">
        <v>8.2826994690000016E-2</v>
      </c>
      <c r="I54" s="62">
        <v>5.8935494759999998E-2</v>
      </c>
      <c r="J54" s="62">
        <v>3.1203014829999997E-2</v>
      </c>
      <c r="K54" s="62">
        <v>4.5275533939999994E-2</v>
      </c>
      <c r="L54" s="62">
        <v>7.8250020400000009E-3</v>
      </c>
      <c r="M54" s="62">
        <v>1.8455469079999998E-2</v>
      </c>
      <c r="N54" s="62">
        <v>0.10135087230999998</v>
      </c>
      <c r="O54" s="62">
        <v>0.96946816895999999</v>
      </c>
      <c r="P54" s="62">
        <v>7.1608004030000005E-2</v>
      </c>
      <c r="Q54" s="62">
        <v>8.2517310489999995E-2</v>
      </c>
      <c r="R54" s="62">
        <v>7.2794686799999998E-3</v>
      </c>
      <c r="S54" s="62">
        <v>1.8353884080000001E-2</v>
      </c>
      <c r="T54" s="62">
        <v>2.1272081896400001</v>
      </c>
      <c r="U54" s="62">
        <v>0.31675029709000002</v>
      </c>
      <c r="V54" s="88">
        <v>88</v>
      </c>
    </row>
    <row r="55" spans="2:22" ht="14" customHeight="1" x14ac:dyDescent="0.15">
      <c r="B55" s="2"/>
      <c r="C55" s="23" t="s">
        <v>244</v>
      </c>
      <c r="D55" s="289">
        <v>141635</v>
      </c>
      <c r="E55" s="275">
        <v>6.4622710740800002</v>
      </c>
      <c r="F55" s="275">
        <v>0.64548993132999999</v>
      </c>
      <c r="G55" s="275">
        <v>1.4226041252099999</v>
      </c>
      <c r="H55" s="62">
        <v>0.33088400056</v>
      </c>
      <c r="I55" s="62">
        <v>0.19094860919999998</v>
      </c>
      <c r="J55" s="62">
        <v>0.13959400519000001</v>
      </c>
      <c r="K55" s="62">
        <v>0.27227461491000005</v>
      </c>
      <c r="L55" s="62">
        <v>0.12155226345</v>
      </c>
      <c r="M55" s="62">
        <v>5.1730822279999998E-2</v>
      </c>
      <c r="N55" s="62">
        <v>0.54382774441999993</v>
      </c>
      <c r="O55" s="62">
        <v>4.8223046409699997</v>
      </c>
      <c r="P55" s="62">
        <v>0.38904552434</v>
      </c>
      <c r="Q55" s="62">
        <v>0.41323170997999997</v>
      </c>
      <c r="R55" s="62">
        <v>5.3479850879999999E-2</v>
      </c>
      <c r="S55" s="62">
        <v>7.9234963330000005E-2</v>
      </c>
      <c r="T55" s="62">
        <v>15.6132907844</v>
      </c>
      <c r="U55" s="62">
        <v>1.8897284057800001</v>
      </c>
      <c r="V55" s="88">
        <v>89</v>
      </c>
    </row>
    <row r="56" spans="2:22" ht="14" customHeight="1" x14ac:dyDescent="0.15">
      <c r="B56" s="2"/>
      <c r="C56" s="23" t="s">
        <v>185</v>
      </c>
      <c r="D56" s="289">
        <v>20463</v>
      </c>
      <c r="E56" s="275">
        <v>1.11570046276</v>
      </c>
      <c r="F56" s="275">
        <v>0.11008649029000001</v>
      </c>
      <c r="G56" s="275">
        <v>0.15250493419</v>
      </c>
      <c r="H56" s="62">
        <v>6.7856789900000006E-2</v>
      </c>
      <c r="I56" s="62">
        <v>3.3977832600000001E-2</v>
      </c>
      <c r="J56" s="62">
        <v>2.4873108969999998E-2</v>
      </c>
      <c r="K56" s="62">
        <v>4.7157716840000002E-2</v>
      </c>
      <c r="L56" s="62">
        <v>1.90285807E-3</v>
      </c>
      <c r="M56" s="62">
        <v>1.409746355E-2</v>
      </c>
      <c r="N56" s="62">
        <v>8.1343543659999989E-2</v>
      </c>
      <c r="O56" s="62">
        <v>0.84789990351000011</v>
      </c>
      <c r="P56" s="62">
        <v>8.6880779089999999E-2</v>
      </c>
      <c r="Q56" s="62">
        <v>9.9176579750000007E-2</v>
      </c>
      <c r="R56" s="62">
        <v>6.2297953500000001E-3</v>
      </c>
      <c r="S56" s="62">
        <v>1.8583777520000001E-2</v>
      </c>
      <c r="T56" s="62">
        <v>1.84798014302</v>
      </c>
      <c r="U56" s="62">
        <v>0.25221338895000001</v>
      </c>
      <c r="V56" s="88">
        <v>90</v>
      </c>
    </row>
    <row r="57" spans="2:22" ht="14" customHeight="1" x14ac:dyDescent="0.15">
      <c r="B57" s="2"/>
      <c r="C57" s="23" t="s">
        <v>173</v>
      </c>
      <c r="D57" s="289">
        <v>6166</v>
      </c>
      <c r="E57" s="275">
        <v>0.35410903788000003</v>
      </c>
      <c r="F57" s="275">
        <v>0.23397899103999997</v>
      </c>
      <c r="G57" s="275">
        <v>0.29543544926999998</v>
      </c>
      <c r="H57" s="62">
        <v>1.8820297270000001E-2</v>
      </c>
      <c r="I57" s="62">
        <v>9.1460524799999998E-3</v>
      </c>
      <c r="J57" s="62">
        <v>7.5226823200000006E-3</v>
      </c>
      <c r="K57" s="62">
        <v>1.5794525970000001E-2</v>
      </c>
      <c r="L57" s="62">
        <v>1.5853395400000001E-3</v>
      </c>
      <c r="M57" s="62">
        <v>3.17822224E-3</v>
      </c>
      <c r="N57" s="62">
        <v>2.2707266239999996E-2</v>
      </c>
      <c r="O57" s="62">
        <v>0.27761426253999999</v>
      </c>
      <c r="P57" s="62">
        <v>3.6948701049999998E-2</v>
      </c>
      <c r="Q57" s="62">
        <v>3.9399191219999997E-2</v>
      </c>
      <c r="R57" s="62">
        <v>2.7874555899999997E-3</v>
      </c>
      <c r="S57" s="62">
        <v>5.4804211600000003E-3</v>
      </c>
      <c r="T57" s="62">
        <v>4.1409849618200001</v>
      </c>
      <c r="U57" s="62">
        <v>0.50230717851999995</v>
      </c>
      <c r="V57" s="88">
        <v>91</v>
      </c>
    </row>
    <row r="58" spans="2:22" ht="14" customHeight="1" x14ac:dyDescent="0.15">
      <c r="B58" s="2"/>
      <c r="C58" s="23" t="s">
        <v>215</v>
      </c>
      <c r="D58" s="289">
        <v>54894</v>
      </c>
      <c r="E58" s="275">
        <v>2.4877853851299996</v>
      </c>
      <c r="F58" s="275">
        <v>0.26450224666</v>
      </c>
      <c r="G58" s="275">
        <v>1.55070720356</v>
      </c>
      <c r="H58" s="62">
        <v>4.6687636669999998E-2</v>
      </c>
      <c r="I58" s="62">
        <v>3.6179736479999995E-2</v>
      </c>
      <c r="J58" s="62">
        <v>2.6083156280000002E-2</v>
      </c>
      <c r="K58" s="62">
        <v>6.5462475399999998E-2</v>
      </c>
      <c r="L58" s="62">
        <v>0.41558271154000004</v>
      </c>
      <c r="M58" s="62">
        <v>1.408403024E-2</v>
      </c>
      <c r="N58" s="62">
        <v>0.22661261323999993</v>
      </c>
      <c r="O58" s="62">
        <v>1.66479103086</v>
      </c>
      <c r="P58" s="62">
        <v>0.14551421116999999</v>
      </c>
      <c r="Q58" s="62">
        <v>0.11382081576</v>
      </c>
      <c r="R58" s="62">
        <v>4.4528401750000002E-2</v>
      </c>
      <c r="S58" s="62">
        <v>2.0700201709999998E-2</v>
      </c>
      <c r="T58" s="62">
        <v>14.115436966560001</v>
      </c>
      <c r="U58" s="62">
        <v>1.3570254499900001</v>
      </c>
      <c r="V58" s="88">
        <v>92</v>
      </c>
    </row>
    <row r="59" spans="2:22" ht="14" customHeight="1" x14ac:dyDescent="0.15">
      <c r="B59" s="2"/>
      <c r="C59" s="23" t="s">
        <v>156</v>
      </c>
      <c r="D59" s="289">
        <v>3302</v>
      </c>
      <c r="E59" s="275">
        <v>0.13993195475000003</v>
      </c>
      <c r="F59" s="275">
        <v>1.421946109E-2</v>
      </c>
      <c r="G59" s="275">
        <v>3.2292373370000002E-2</v>
      </c>
      <c r="H59" s="62">
        <v>5.5549141900000003E-3</v>
      </c>
      <c r="I59" s="62">
        <v>3.0645054000000001E-3</v>
      </c>
      <c r="J59" s="62">
        <v>2.0313000300000001E-3</v>
      </c>
      <c r="K59" s="62">
        <v>4.9302305499999994E-3</v>
      </c>
      <c r="L59" s="62">
        <v>3.2776201000000001E-4</v>
      </c>
      <c r="M59" s="62">
        <v>1.2635562799999998E-3</v>
      </c>
      <c r="N59" s="62">
        <v>1.4493676349999998E-2</v>
      </c>
      <c r="O59" s="62">
        <v>0.10839394324</v>
      </c>
      <c r="P59" s="62">
        <v>8.6563255200000008E-3</v>
      </c>
      <c r="Q59" s="62">
        <v>9.7698620699999995E-3</v>
      </c>
      <c r="R59" s="62">
        <v>9.0915241999999993E-4</v>
      </c>
      <c r="S59" s="62">
        <v>2.05704346E-3</v>
      </c>
      <c r="T59" s="62">
        <v>0.25779886517</v>
      </c>
      <c r="U59" s="62">
        <v>3.3193790520000002E-2</v>
      </c>
      <c r="V59" s="88">
        <v>93</v>
      </c>
    </row>
    <row r="60" spans="2:22" ht="14" customHeight="1" x14ac:dyDescent="0.15">
      <c r="B60" s="2"/>
      <c r="C60" s="23" t="s">
        <v>166</v>
      </c>
      <c r="D60" s="289">
        <v>9427</v>
      </c>
      <c r="E60" s="275">
        <v>0.35408816493</v>
      </c>
      <c r="F60" s="275">
        <v>4.0721627390000001E-2</v>
      </c>
      <c r="G60" s="275">
        <v>0.16817494319999998</v>
      </c>
      <c r="H60" s="62">
        <v>1.4549914700000001E-2</v>
      </c>
      <c r="I60" s="62">
        <v>1.2629476800000001E-2</v>
      </c>
      <c r="J60" s="62">
        <v>6.7811329000000004E-3</v>
      </c>
      <c r="K60" s="62">
        <v>1.47487886E-2</v>
      </c>
      <c r="L60" s="62">
        <v>2.02505814E-3</v>
      </c>
      <c r="M60" s="62">
        <v>5.6265229800000005E-3</v>
      </c>
      <c r="N60" s="62">
        <v>3.3727601229999987E-2</v>
      </c>
      <c r="O60" s="62">
        <v>0.26707751837000004</v>
      </c>
      <c r="P60" s="62">
        <v>1.8765829599999999E-2</v>
      </c>
      <c r="Q60" s="62">
        <v>2.0239367899999999E-2</v>
      </c>
      <c r="R60" s="62">
        <v>2.5933453799999997E-3</v>
      </c>
      <c r="S60" s="62">
        <v>4.2219640099999999E-3</v>
      </c>
      <c r="T60" s="62">
        <v>1.08331123473</v>
      </c>
      <c r="U60" s="62">
        <v>0.11292634542999999</v>
      </c>
      <c r="V60" s="88">
        <v>94</v>
      </c>
    </row>
    <row r="61" spans="2:22" ht="14" customHeight="1" x14ac:dyDescent="0.15">
      <c r="B61" s="2"/>
      <c r="C61" s="23" t="s">
        <v>169</v>
      </c>
      <c r="D61" s="289">
        <v>6784</v>
      </c>
      <c r="E61" s="275">
        <v>0.37625473222999994</v>
      </c>
      <c r="F61" s="275">
        <v>3.9527895790000003E-2</v>
      </c>
      <c r="G61" s="275">
        <v>4.4513475449999999E-2</v>
      </c>
      <c r="H61" s="62">
        <v>2.045485482E-2</v>
      </c>
      <c r="I61" s="62">
        <v>1.5336972480000001E-2</v>
      </c>
      <c r="J61" s="62">
        <v>1.014988815E-2</v>
      </c>
      <c r="K61" s="62">
        <v>1.643747085E-2</v>
      </c>
      <c r="L61" s="62">
        <v>3.7369383000000002E-4</v>
      </c>
      <c r="M61" s="62">
        <v>7.33897482E-3</v>
      </c>
      <c r="N61" s="62">
        <v>2.6395075090000011E-2</v>
      </c>
      <c r="O61" s="62">
        <v>0.28181526663000001</v>
      </c>
      <c r="P61" s="62">
        <v>2.8403929209999998E-2</v>
      </c>
      <c r="Q61" s="62">
        <v>3.1131205250000002E-2</v>
      </c>
      <c r="R61" s="62">
        <v>2.9697980499999999E-3</v>
      </c>
      <c r="S61" s="62">
        <v>5.7252709099999992E-3</v>
      </c>
      <c r="T61" s="62">
        <v>0.50300733987000001</v>
      </c>
      <c r="U61" s="62">
        <v>6.0901758370000003E-2</v>
      </c>
      <c r="V61" s="88">
        <v>95</v>
      </c>
    </row>
    <row r="62" spans="2:22" ht="15" customHeight="1" x14ac:dyDescent="0.15">
      <c r="B62" s="2"/>
      <c r="C62" s="47"/>
      <c r="E62" s="42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22"/>
    </row>
    <row r="63" spans="2:22" x14ac:dyDescent="0.15">
      <c r="B63" s="2"/>
      <c r="C63" s="1" t="s">
        <v>24</v>
      </c>
      <c r="V63" s="22"/>
    </row>
    <row r="64" spans="2:22" ht="7.5" customHeight="1" thickBot="1" x14ac:dyDescent="0.2">
      <c r="B64" s="28"/>
      <c r="C64" s="38"/>
      <c r="D64" s="38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27"/>
    </row>
    <row r="65" spans="3:19" ht="12" customHeight="1" x14ac:dyDescent="0.15">
      <c r="J65" s="41" t="s">
        <v>538</v>
      </c>
      <c r="K65" s="422" t="s">
        <v>529</v>
      </c>
      <c r="L65" s="424" t="s">
        <v>530</v>
      </c>
      <c r="M65" s="426" t="s">
        <v>531</v>
      </c>
      <c r="N65" s="430" t="s">
        <v>532</v>
      </c>
      <c r="O65" s="428" t="s">
        <v>533</v>
      </c>
      <c r="P65" s="432" t="s">
        <v>534</v>
      </c>
      <c r="Q65" s="434" t="s">
        <v>535</v>
      </c>
      <c r="R65" s="436" t="s">
        <v>536</v>
      </c>
      <c r="S65" s="438" t="s">
        <v>537</v>
      </c>
    </row>
    <row r="66" spans="3:19" x14ac:dyDescent="0.15">
      <c r="D66" s="1" t="s">
        <v>528</v>
      </c>
      <c r="E66" s="1" t="s">
        <v>526</v>
      </c>
      <c r="F66" s="452" t="s">
        <v>540</v>
      </c>
      <c r="G66" s="452" t="s">
        <v>541</v>
      </c>
      <c r="H66" s="1" t="s">
        <v>542</v>
      </c>
      <c r="J66" s="1">
        <v>2013</v>
      </c>
      <c r="K66" s="423">
        <v>7118.3936999999996</v>
      </c>
      <c r="L66" s="425">
        <v>27981.66</v>
      </c>
      <c r="M66" s="427">
        <v>43020.105000000003</v>
      </c>
      <c r="N66" s="431">
        <v>77296.456000000006</v>
      </c>
      <c r="O66" s="429">
        <v>241932.14</v>
      </c>
      <c r="P66" s="433">
        <v>358683.78</v>
      </c>
      <c r="Q66" s="435">
        <v>920850.79</v>
      </c>
      <c r="R66" s="437">
        <v>1454392.1</v>
      </c>
      <c r="S66" s="439">
        <v>4313183.2</v>
      </c>
    </row>
    <row r="67" spans="3:19" x14ac:dyDescent="0.15">
      <c r="C67" s="440" t="s">
        <v>162</v>
      </c>
      <c r="D67" s="444">
        <f>D14</f>
        <v>4162</v>
      </c>
      <c r="E67" s="431">
        <f t="shared" ref="E67:E114" si="0">((E14+F14+G14-L14)/D14)*1000000000</f>
        <v>86349.715706391144</v>
      </c>
      <c r="F67" s="453">
        <f>(G14/($E14+$F14+$G14))</f>
        <v>0.15596966313394064</v>
      </c>
      <c r="G67" s="453">
        <f>(F14/($E14+$F14+$G14))</f>
        <v>7.9638902485756266E-2</v>
      </c>
      <c r="H67" s="177">
        <f>G14/P43_T14!$G$62</f>
        <v>8.878030136808141E-5</v>
      </c>
    </row>
    <row r="68" spans="3:19" x14ac:dyDescent="0.15">
      <c r="C68" s="440" t="s">
        <v>160</v>
      </c>
      <c r="D68" s="444">
        <f t="shared" ref="D68:D114" si="1">D15</f>
        <v>3776</v>
      </c>
      <c r="E68" s="431">
        <f t="shared" si="0"/>
        <v>82424.186191737288</v>
      </c>
      <c r="F68" s="453">
        <f t="shared" ref="F68:F83" si="2">(G15/($E15+$F15+$G15))</f>
        <v>0.19077015412825601</v>
      </c>
      <c r="G68" s="453">
        <f t="shared" ref="G68:G114" si="3">(F15/($E15+$F15+$G15))</f>
        <v>7.4573198326185516E-2</v>
      </c>
      <c r="H68" s="177">
        <f>G15/P43_T14!$G$62</f>
        <v>9.3977832795185865E-5</v>
      </c>
    </row>
    <row r="69" spans="3:19" x14ac:dyDescent="0.15">
      <c r="C69" s="441" t="s">
        <v>219</v>
      </c>
      <c r="D69" s="445">
        <f t="shared" si="1"/>
        <v>55877</v>
      </c>
      <c r="E69" s="427">
        <f t="shared" si="0"/>
        <v>73140.738870375993</v>
      </c>
      <c r="F69" s="453">
        <f t="shared" si="2"/>
        <v>0.11305754265321082</v>
      </c>
      <c r="G69" s="453">
        <f t="shared" si="3"/>
        <v>7.3592704467942568E-2</v>
      </c>
      <c r="H69" s="177">
        <f>G16/P43_T14!$G$62</f>
        <v>7.3128127119626409E-4</v>
      </c>
    </row>
    <row r="70" spans="3:19" x14ac:dyDescent="0.15">
      <c r="C70" s="440" t="s">
        <v>148</v>
      </c>
      <c r="D70" s="444">
        <f t="shared" si="1"/>
        <v>1262</v>
      </c>
      <c r="E70" s="431">
        <f t="shared" si="0"/>
        <v>78492.786188589555</v>
      </c>
      <c r="F70" s="453">
        <f t="shared" si="2"/>
        <v>0.12761311966012101</v>
      </c>
      <c r="G70" s="453">
        <f t="shared" si="3"/>
        <v>6.5891126968601943E-2</v>
      </c>
      <c r="H70" s="177">
        <f>G17/P43_T14!$G$62</f>
        <v>2.0047457007001086E-5</v>
      </c>
    </row>
    <row r="71" spans="3:19" x14ac:dyDescent="0.15">
      <c r="C71" s="440" t="s">
        <v>221</v>
      </c>
      <c r="D71" s="444">
        <f t="shared" si="1"/>
        <v>54831</v>
      </c>
      <c r="E71" s="431">
        <f t="shared" si="0"/>
        <v>120949.45241159199</v>
      </c>
      <c r="F71" s="454">
        <f t="shared" si="2"/>
        <v>0.39797550812050625</v>
      </c>
      <c r="G71" s="453">
        <f t="shared" si="3"/>
        <v>8.8154872664890888E-2</v>
      </c>
      <c r="H71" s="177">
        <f>G18/P43_T14!$G$62</f>
        <v>4.1771016490172929E-3</v>
      </c>
    </row>
    <row r="72" spans="3:19" x14ac:dyDescent="0.15">
      <c r="C72" s="441" t="s">
        <v>202</v>
      </c>
      <c r="D72" s="445">
        <f t="shared" si="1"/>
        <v>44285</v>
      </c>
      <c r="E72" s="427">
        <f t="shared" si="0"/>
        <v>49358.571861804216</v>
      </c>
      <c r="F72" s="453">
        <f t="shared" si="2"/>
        <v>0.11896048845451106</v>
      </c>
      <c r="G72" s="453">
        <f t="shared" si="3"/>
        <v>2.2048010940967762E-2</v>
      </c>
      <c r="H72" s="177">
        <f>G19/P43_T14!$G$62</f>
        <v>4.2237580520791251E-4</v>
      </c>
    </row>
    <row r="73" spans="3:19" x14ac:dyDescent="0.15">
      <c r="C73" s="441" t="s">
        <v>161</v>
      </c>
      <c r="D73" s="445">
        <f t="shared" si="1"/>
        <v>6244</v>
      </c>
      <c r="E73" s="427">
        <f t="shared" si="0"/>
        <v>77139.033821268415</v>
      </c>
      <c r="F73" s="453">
        <f t="shared" si="2"/>
        <v>0.39049811852146027</v>
      </c>
      <c r="G73" s="453">
        <f t="shared" si="3"/>
        <v>0.10509713848518508</v>
      </c>
      <c r="H73" s="177">
        <f>G20/P43_T14!$G$62</f>
        <v>2.985302407173416E-4</v>
      </c>
    </row>
    <row r="74" spans="3:19" x14ac:dyDescent="0.15">
      <c r="C74" s="440" t="s">
        <v>188</v>
      </c>
      <c r="D74" s="444">
        <f t="shared" si="1"/>
        <v>15424</v>
      </c>
      <c r="E74" s="431">
        <f t="shared" si="0"/>
        <v>91361.594738718879</v>
      </c>
      <c r="F74" s="453">
        <f t="shared" si="2"/>
        <v>0.12193715817991162</v>
      </c>
      <c r="G74" s="453">
        <f t="shared" si="3"/>
        <v>8.2017961618025575E-2</v>
      </c>
      <c r="H74" s="177">
        <f>G21/P43_T14!$G$62</f>
        <v>2.7182773512637946E-4</v>
      </c>
    </row>
    <row r="75" spans="3:19" x14ac:dyDescent="0.15">
      <c r="C75" s="440" t="s">
        <v>163</v>
      </c>
      <c r="D75" s="444">
        <f t="shared" si="1"/>
        <v>4654</v>
      </c>
      <c r="E75" s="431">
        <f t="shared" si="0"/>
        <v>132322.19361409539</v>
      </c>
      <c r="F75" s="453">
        <f t="shared" si="2"/>
        <v>0.43698754378344806</v>
      </c>
      <c r="G75" s="453">
        <f t="shared" si="3"/>
        <v>9.4321504073345885E-2</v>
      </c>
      <c r="H75" s="177">
        <f>G22/P43_T14!$G$62</f>
        <v>4.2609551521762581E-4</v>
      </c>
    </row>
    <row r="76" spans="3:19" x14ac:dyDescent="0.15">
      <c r="C76" s="441" t="s">
        <v>158</v>
      </c>
      <c r="D76" s="445">
        <f t="shared" si="1"/>
        <v>3380</v>
      </c>
      <c r="E76" s="427">
        <f t="shared" si="0"/>
        <v>76801.193272189354</v>
      </c>
      <c r="F76" s="453">
        <f t="shared" si="2"/>
        <v>0.32846690054547317</v>
      </c>
      <c r="G76" s="453">
        <f t="shared" si="3"/>
        <v>8.403437715791312E-2</v>
      </c>
      <c r="H76" s="177">
        <f>G23/P43_T14!$G$62</f>
        <v>1.3517035776058379E-4</v>
      </c>
    </row>
    <row r="77" spans="3:19" x14ac:dyDescent="0.15">
      <c r="C77" s="440" t="s">
        <v>168</v>
      </c>
      <c r="D77" s="444">
        <f t="shared" si="1"/>
        <v>4759</v>
      </c>
      <c r="E77" s="431">
        <f t="shared" si="0"/>
        <v>192599.91915948727</v>
      </c>
      <c r="F77" s="454">
        <f t="shared" si="2"/>
        <v>0.51549738371521359</v>
      </c>
      <c r="G77" s="453">
        <f t="shared" si="3"/>
        <v>9.2233726277366729E-2</v>
      </c>
      <c r="H77" s="177">
        <f>G24/P43_T14!$G$62</f>
        <v>7.501475766779781E-4</v>
      </c>
    </row>
    <row r="78" spans="3:19" x14ac:dyDescent="0.15">
      <c r="C78" s="440" t="s">
        <v>155</v>
      </c>
      <c r="D78" s="444">
        <f t="shared" si="1"/>
        <v>3368</v>
      </c>
      <c r="E78" s="431">
        <f t="shared" si="0"/>
        <v>102892.05940320666</v>
      </c>
      <c r="F78" s="454">
        <f t="shared" si="2"/>
        <v>0.5640026239601077</v>
      </c>
      <c r="G78" s="453">
        <f t="shared" si="3"/>
        <v>5.1620210888718952E-2</v>
      </c>
      <c r="H78" s="177">
        <f>G25/P43_T14!$G$62</f>
        <v>3.1123177129372781E-4</v>
      </c>
    </row>
    <row r="79" spans="3:19" x14ac:dyDescent="0.15">
      <c r="C79" s="441" t="s">
        <v>174</v>
      </c>
      <c r="D79" s="445">
        <f t="shared" si="1"/>
        <v>12827</v>
      </c>
      <c r="E79" s="427">
        <f t="shared" si="0"/>
        <v>66509.025181258286</v>
      </c>
      <c r="F79" s="453">
        <f t="shared" si="2"/>
        <v>0.30301951679566635</v>
      </c>
      <c r="G79" s="453">
        <f t="shared" si="3"/>
        <v>8.1089592490058884E-2</v>
      </c>
      <c r="H79" s="177">
        <f>G26/P43_T14!$G$62</f>
        <v>4.1205304015141914E-4</v>
      </c>
    </row>
    <row r="80" spans="3:19" x14ac:dyDescent="0.15">
      <c r="C80" s="441" t="s">
        <v>190</v>
      </c>
      <c r="D80" s="445">
        <f t="shared" si="1"/>
        <v>31412</v>
      </c>
      <c r="E80" s="427">
        <f t="shared" si="0"/>
        <v>69665.760831847714</v>
      </c>
      <c r="F80" s="453">
        <f t="shared" si="2"/>
        <v>0.34219010368910247</v>
      </c>
      <c r="G80" s="453">
        <f t="shared" si="3"/>
        <v>0.10982383014294382</v>
      </c>
      <c r="H80" s="177">
        <f>G27/P43_T14!$G$62</f>
        <v>1.1898438054378073E-3</v>
      </c>
    </row>
    <row r="81" spans="3:8" x14ac:dyDescent="0.15">
      <c r="C81" s="440" t="s">
        <v>154</v>
      </c>
      <c r="D81" s="444">
        <f t="shared" si="1"/>
        <v>2492</v>
      </c>
      <c r="E81" s="431">
        <f t="shared" si="0"/>
        <v>140951.23786115568</v>
      </c>
      <c r="F81" s="453">
        <f t="shared" si="2"/>
        <v>0.39294715466029029</v>
      </c>
      <c r="G81" s="453">
        <f t="shared" si="3"/>
        <v>0.31252633074288655</v>
      </c>
      <c r="H81" s="177">
        <f>G28/P43_T14!$G$62</f>
        <v>2.2468231891458447E-4</v>
      </c>
    </row>
    <row r="82" spans="3:8" x14ac:dyDescent="0.15">
      <c r="C82" s="441" t="s">
        <v>159</v>
      </c>
      <c r="D82" s="445">
        <f t="shared" si="1"/>
        <v>7132</v>
      </c>
      <c r="E82" s="427">
        <f t="shared" si="0"/>
        <v>59235.983691811554</v>
      </c>
      <c r="F82" s="454">
        <f t="shared" si="2"/>
        <v>0.53581560592562616</v>
      </c>
      <c r="G82" s="453">
        <f t="shared" si="3"/>
        <v>4.501135061445416E-2</v>
      </c>
      <c r="H82" s="177">
        <f>G29/P43_T14!$G$62</f>
        <v>3.6197365493095531E-4</v>
      </c>
    </row>
    <row r="83" spans="3:8" x14ac:dyDescent="0.15">
      <c r="C83" s="440" t="s">
        <v>181</v>
      </c>
      <c r="D83" s="444">
        <f t="shared" si="1"/>
        <v>18242</v>
      </c>
      <c r="E83" s="431">
        <f t="shared" si="0"/>
        <v>79841.429492928408</v>
      </c>
      <c r="F83" s="453">
        <f t="shared" si="2"/>
        <v>0.36605624601006448</v>
      </c>
      <c r="G83" s="453">
        <f t="shared" si="3"/>
        <v>9.9038607084536573E-2</v>
      </c>
      <c r="H83" s="177">
        <f>G30/P43_T14!$G$62</f>
        <v>8.4536348544627109E-4</v>
      </c>
    </row>
    <row r="84" spans="3:8" x14ac:dyDescent="0.15">
      <c r="C84" s="441" t="s">
        <v>246</v>
      </c>
      <c r="D84" s="445">
        <f t="shared" si="1"/>
        <v>209776</v>
      </c>
      <c r="E84" s="427">
        <f t="shared" si="0"/>
        <v>48220.501049262064</v>
      </c>
      <c r="F84" s="453">
        <f t="shared" ref="F84:F99" si="4">(G31/($E31+$F31+$G31))</f>
        <v>7.5130244295986359E-2</v>
      </c>
      <c r="G84" s="453">
        <f t="shared" si="3"/>
        <v>6.8595541032035412E-2</v>
      </c>
      <c r="H84" s="177">
        <f>G31/P43_T14!$G$62</f>
        <v>1.2025286717641105E-3</v>
      </c>
    </row>
    <row r="85" spans="3:8" x14ac:dyDescent="0.15">
      <c r="C85" s="441" t="s">
        <v>269</v>
      </c>
      <c r="D85" s="445">
        <f t="shared" si="1"/>
        <v>928698</v>
      </c>
      <c r="E85" s="427">
        <f t="shared" si="0"/>
        <v>54357.00886389333</v>
      </c>
      <c r="F85" s="453">
        <f t="shared" si="4"/>
        <v>6.8295111824534599E-2</v>
      </c>
      <c r="G85" s="453">
        <f t="shared" si="3"/>
        <v>7.0375342250415487E-2</v>
      </c>
      <c r="H85" s="177">
        <f>G32/P43_T14!$G$62</f>
        <v>5.454533403219281E-3</v>
      </c>
    </row>
    <row r="86" spans="3:8" x14ac:dyDescent="0.15">
      <c r="C86" s="441" t="s">
        <v>265</v>
      </c>
      <c r="D86" s="445">
        <f t="shared" si="1"/>
        <v>502154</v>
      </c>
      <c r="E86" s="427">
        <f t="shared" si="0"/>
        <v>64700.72764422866</v>
      </c>
      <c r="F86" s="453">
        <f t="shared" si="4"/>
        <v>9.3005075751389374E-2</v>
      </c>
      <c r="G86" s="453">
        <f t="shared" si="3"/>
        <v>7.3456749559858509E-2</v>
      </c>
      <c r="H86" s="177">
        <f>G33/P43_T14!$G$62</f>
        <v>4.7813992227356307E-3</v>
      </c>
    </row>
    <row r="87" spans="3:8" x14ac:dyDescent="0.15">
      <c r="C87" s="440" t="s">
        <v>211</v>
      </c>
      <c r="D87" s="444">
        <f t="shared" si="1"/>
        <v>44726</v>
      </c>
      <c r="E87" s="431">
        <f t="shared" si="0"/>
        <v>78209.56411930421</v>
      </c>
      <c r="F87" s="453">
        <f t="shared" si="4"/>
        <v>0.11164390757654821</v>
      </c>
      <c r="G87" s="453">
        <f t="shared" si="3"/>
        <v>6.8366502233639895E-2</v>
      </c>
      <c r="H87" s="177">
        <f>G34/P43_T14!$G$62</f>
        <v>6.1812593713758994E-4</v>
      </c>
    </row>
    <row r="88" spans="3:8" x14ac:dyDescent="0.15">
      <c r="C88" s="440" t="s">
        <v>261</v>
      </c>
      <c r="D88" s="444">
        <f t="shared" si="1"/>
        <v>209421</v>
      </c>
      <c r="E88" s="431">
        <f t="shared" si="0"/>
        <v>145974.80325740972</v>
      </c>
      <c r="F88" s="453">
        <f t="shared" si="4"/>
        <v>0.16701560003843957</v>
      </c>
      <c r="G88" s="453">
        <f t="shared" si="3"/>
        <v>7.9640334787488179E-2</v>
      </c>
      <c r="H88" s="177">
        <f>G35/P43_T14!$G$62</f>
        <v>8.0952807507176875E-3</v>
      </c>
    </row>
    <row r="89" spans="3:8" x14ac:dyDescent="0.15">
      <c r="C89" s="441" t="s">
        <v>203</v>
      </c>
      <c r="D89" s="445">
        <f t="shared" si="1"/>
        <v>53647</v>
      </c>
      <c r="E89" s="427">
        <f t="shared" si="0"/>
        <v>50236.861214606593</v>
      </c>
      <c r="F89" s="453">
        <f t="shared" si="4"/>
        <v>0.22928873965707913</v>
      </c>
      <c r="G89" s="453">
        <f t="shared" si="3"/>
        <v>6.8924276036260862E-2</v>
      </c>
      <c r="H89" s="177">
        <f>G36/P43_T14!$G$62</f>
        <v>9.8663338196100276E-4</v>
      </c>
    </row>
    <row r="90" spans="3:8" x14ac:dyDescent="0.15">
      <c r="C90" s="441" t="s">
        <v>243</v>
      </c>
      <c r="D90" s="445">
        <f t="shared" si="1"/>
        <v>128142</v>
      </c>
      <c r="E90" s="427">
        <f t="shared" si="0"/>
        <v>68705.503945466771</v>
      </c>
      <c r="F90" s="453">
        <f t="shared" si="4"/>
        <v>0.11378884597450992</v>
      </c>
      <c r="G90" s="453">
        <f t="shared" si="3"/>
        <v>7.2134532948887137E-2</v>
      </c>
      <c r="H90" s="177">
        <f>G37/P43_T14!$G$62</f>
        <v>1.5860737830964856E-3</v>
      </c>
    </row>
    <row r="91" spans="3:8" x14ac:dyDescent="0.15">
      <c r="C91" s="441" t="s">
        <v>193</v>
      </c>
      <c r="D91" s="445">
        <f t="shared" si="1"/>
        <v>22128</v>
      </c>
      <c r="E91" s="427">
        <f t="shared" si="0"/>
        <v>75626.958376265364</v>
      </c>
      <c r="F91" s="453">
        <f t="shared" si="4"/>
        <v>9.2979926152714359E-2</v>
      </c>
      <c r="G91" s="453">
        <f t="shared" si="3"/>
        <v>9.9877937871984929E-2</v>
      </c>
      <c r="H91" s="177">
        <f>G38/P43_T14!$G$62</f>
        <v>2.4645784155218954E-4</v>
      </c>
    </row>
    <row r="92" spans="3:8" x14ac:dyDescent="0.15">
      <c r="C92" s="441" t="s">
        <v>199</v>
      </c>
      <c r="D92" s="445">
        <f t="shared" si="1"/>
        <v>32884</v>
      </c>
      <c r="E92" s="427">
        <f t="shared" si="0"/>
        <v>63328.420156611137</v>
      </c>
      <c r="F92" s="453">
        <f t="shared" si="4"/>
        <v>0.13889111244275465</v>
      </c>
      <c r="G92" s="453">
        <f t="shared" si="3"/>
        <v>7.7704232470747592E-2</v>
      </c>
      <c r="H92" s="177">
        <f>G39/P43_T14!$G$62</f>
        <v>4.624895852013139E-4</v>
      </c>
    </row>
    <row r="93" spans="3:8" x14ac:dyDescent="0.15">
      <c r="C93" s="440" t="s">
        <v>241</v>
      </c>
      <c r="D93" s="444">
        <f t="shared" si="1"/>
        <v>77264</v>
      </c>
      <c r="E93" s="431">
        <f t="shared" si="0"/>
        <v>84379.845182232326</v>
      </c>
      <c r="F93" s="453">
        <f t="shared" si="4"/>
        <v>0.13536013511886563</v>
      </c>
      <c r="G93" s="453">
        <f t="shared" si="3"/>
        <v>9.9164013282947827E-2</v>
      </c>
      <c r="H93" s="177">
        <f>G40/P43_T14!$G$62</f>
        <v>1.3964474514319247E-3</v>
      </c>
    </row>
    <row r="94" spans="3:8" x14ac:dyDescent="0.15">
      <c r="C94" s="440" t="s">
        <v>214</v>
      </c>
      <c r="D94" s="444">
        <f t="shared" si="1"/>
        <v>34563</v>
      </c>
      <c r="E94" s="431">
        <f t="shared" si="0"/>
        <v>82589.489462720259</v>
      </c>
      <c r="F94" s="453">
        <f t="shared" si="4"/>
        <v>9.5357177669509033E-2</v>
      </c>
      <c r="G94" s="453">
        <f t="shared" si="3"/>
        <v>0.10379081446876873</v>
      </c>
      <c r="H94" s="177">
        <f>G41/P43_T14!$G$62</f>
        <v>4.3076630493694637E-4</v>
      </c>
    </row>
    <row r="95" spans="3:8" x14ac:dyDescent="0.15">
      <c r="C95" s="440" t="s">
        <v>164</v>
      </c>
      <c r="D95" s="444">
        <f t="shared" si="1"/>
        <v>3406</v>
      </c>
      <c r="E95" s="431">
        <f t="shared" si="0"/>
        <v>95870.875017615952</v>
      </c>
      <c r="F95" s="453">
        <f t="shared" si="4"/>
        <v>8.1431777148992135E-2</v>
      </c>
      <c r="G95" s="453">
        <f t="shared" si="3"/>
        <v>0.13967354329295742</v>
      </c>
      <c r="H95" s="177">
        <f>G42/P43_T14!$G$62</f>
        <v>4.2105144875465009E-5</v>
      </c>
    </row>
    <row r="96" spans="3:8" x14ac:dyDescent="0.15">
      <c r="C96" s="441" t="s">
        <v>217</v>
      </c>
      <c r="D96" s="445">
        <f t="shared" si="1"/>
        <v>54959</v>
      </c>
      <c r="E96" s="427">
        <f t="shared" si="0"/>
        <v>61541.225759202323</v>
      </c>
      <c r="F96" s="453">
        <f t="shared" si="4"/>
        <v>0.17171995145266597</v>
      </c>
      <c r="G96" s="453">
        <f t="shared" si="3"/>
        <v>7.7416805663674593E-2</v>
      </c>
      <c r="H96" s="177">
        <f>G43/P43_T14!$G$62</f>
        <v>9.2032965327321233E-4</v>
      </c>
    </row>
    <row r="97" spans="3:8" x14ac:dyDescent="0.15">
      <c r="C97" s="441" t="s">
        <v>184</v>
      </c>
      <c r="D97" s="445">
        <f t="shared" si="1"/>
        <v>17260</v>
      </c>
      <c r="E97" s="427">
        <f t="shared" si="0"/>
        <v>70267.028112398606</v>
      </c>
      <c r="F97" s="453">
        <f t="shared" si="4"/>
        <v>0.18626283468914984</v>
      </c>
      <c r="G97" s="453">
        <f t="shared" si="3"/>
        <v>7.5701625170161199E-2</v>
      </c>
      <c r="H97" s="177">
        <f>G44/P43_T14!$G$62</f>
        <v>3.57935940256716E-4</v>
      </c>
    </row>
    <row r="98" spans="3:8" x14ac:dyDescent="0.15">
      <c r="C98" s="440" t="s">
        <v>235</v>
      </c>
      <c r="D98" s="444">
        <f t="shared" si="1"/>
        <v>75403</v>
      </c>
      <c r="E98" s="431">
        <f t="shared" si="0"/>
        <v>80277.54658992347</v>
      </c>
      <c r="F98" s="453">
        <f t="shared" si="4"/>
        <v>0.12021284914482769</v>
      </c>
      <c r="G98" s="453">
        <f t="shared" si="3"/>
        <v>9.4703337863768278E-2</v>
      </c>
      <c r="H98" s="177">
        <f>G45/P43_T14!$G$62</f>
        <v>1.1522542840855022E-3</v>
      </c>
    </row>
    <row r="99" spans="3:8" x14ac:dyDescent="0.15">
      <c r="C99" s="441" t="s">
        <v>150</v>
      </c>
      <c r="D99" s="445">
        <f t="shared" si="1"/>
        <v>2141</v>
      </c>
      <c r="E99" s="427">
        <f t="shared" si="0"/>
        <v>56387.420906118634</v>
      </c>
      <c r="F99" s="453">
        <f t="shared" si="4"/>
        <v>9.4550342230755091E-2</v>
      </c>
      <c r="G99" s="453">
        <f t="shared" si="3"/>
        <v>7.0893238314840859E-2</v>
      </c>
      <c r="H99" s="177">
        <f>G46/P43_T14!$G$62</f>
        <v>1.8061674552064087E-5</v>
      </c>
    </row>
    <row r="100" spans="3:8" x14ac:dyDescent="0.15">
      <c r="C100" s="441" t="s">
        <v>182</v>
      </c>
      <c r="D100" s="445">
        <f t="shared" si="1"/>
        <v>15257</v>
      </c>
      <c r="E100" s="427">
        <f t="shared" si="0"/>
        <v>66326.960616110635</v>
      </c>
      <c r="F100" s="453">
        <f t="shared" ref="F100:F114" si="5">(G47/($E47+$F47+$G47))</f>
        <v>0.15105532596201515</v>
      </c>
      <c r="G100" s="453">
        <f t="shared" si="3"/>
        <v>7.8942295712351368E-2</v>
      </c>
      <c r="H100" s="177">
        <f>G47/P43_T14!$G$62</f>
        <v>2.4218125064432675E-4</v>
      </c>
    </row>
    <row r="101" spans="3:8" x14ac:dyDescent="0.15">
      <c r="C101" s="441" t="s">
        <v>222</v>
      </c>
      <c r="D101" s="445">
        <f t="shared" si="1"/>
        <v>108173</v>
      </c>
      <c r="E101" s="427">
        <f t="shared" si="0"/>
        <v>46088.634880607911</v>
      </c>
      <c r="F101" s="453">
        <f t="shared" si="5"/>
        <v>5.5193917676200008E-2</v>
      </c>
      <c r="G101" s="453">
        <f t="shared" si="3"/>
        <v>6.9351941263194467E-2</v>
      </c>
      <c r="H101" s="177">
        <f>G48/P43_T14!$G$62</f>
        <v>4.3614263852866672E-4</v>
      </c>
    </row>
    <row r="102" spans="3:8" x14ac:dyDescent="0.15">
      <c r="C102" s="441" t="s">
        <v>146</v>
      </c>
      <c r="D102" s="445">
        <f t="shared" si="1"/>
        <v>1319</v>
      </c>
      <c r="E102" s="427">
        <f t="shared" si="0"/>
        <v>59235.309696739954</v>
      </c>
      <c r="F102" s="453">
        <f t="shared" si="5"/>
        <v>0.13795579220919121</v>
      </c>
      <c r="G102" s="453">
        <f t="shared" si="3"/>
        <v>6.2320470490666281E-2</v>
      </c>
      <c r="H102" s="177">
        <f>G49/P43_T14!$G$62</f>
        <v>1.7101576416050329E-5</v>
      </c>
    </row>
    <row r="103" spans="3:8" x14ac:dyDescent="0.15">
      <c r="C103" s="441" t="s">
        <v>201</v>
      </c>
      <c r="D103" s="445">
        <f t="shared" si="1"/>
        <v>41232</v>
      </c>
      <c r="E103" s="427">
        <f t="shared" si="0"/>
        <v>55133.161527939461</v>
      </c>
      <c r="F103" s="453">
        <f t="shared" si="5"/>
        <v>8.125918855256227E-2</v>
      </c>
      <c r="G103" s="453">
        <f t="shared" si="3"/>
        <v>6.7693588754789744E-2</v>
      </c>
      <c r="H103" s="177">
        <f>G50/P43_T14!$G$62</f>
        <v>2.9336095560746447E-4</v>
      </c>
    </row>
    <row r="104" spans="3:8" x14ac:dyDescent="0.15">
      <c r="C104" s="441" t="s">
        <v>153</v>
      </c>
      <c r="D104" s="445">
        <f t="shared" si="1"/>
        <v>2464</v>
      </c>
      <c r="E104" s="427">
        <f t="shared" si="0"/>
        <v>57060.71268262987</v>
      </c>
      <c r="F104" s="453">
        <f t="shared" si="5"/>
        <v>0.11768285414117007</v>
      </c>
      <c r="G104" s="453">
        <f t="shared" si="3"/>
        <v>6.9218199837212654E-2</v>
      </c>
      <c r="H104" s="177">
        <f>G51/P43_T14!$G$62</f>
        <v>2.6200083685313216E-5</v>
      </c>
    </row>
    <row r="105" spans="3:8" x14ac:dyDescent="0.15">
      <c r="C105" s="441" t="s">
        <v>144</v>
      </c>
      <c r="D105" s="445">
        <f t="shared" si="1"/>
        <v>532</v>
      </c>
      <c r="E105" s="427">
        <f t="shared" si="0"/>
        <v>58276.200845864667</v>
      </c>
      <c r="F105" s="453">
        <f t="shared" si="5"/>
        <v>5.7687914581698446E-2</v>
      </c>
      <c r="G105" s="453">
        <f t="shared" si="3"/>
        <v>6.2887713729474229E-2</v>
      </c>
      <c r="H105" s="177">
        <f>G52/P43_T14!$G$62</f>
        <v>2.8304982184528246E-6</v>
      </c>
    </row>
    <row r="106" spans="3:8" x14ac:dyDescent="0.15">
      <c r="C106" s="440" t="s">
        <v>197</v>
      </c>
      <c r="D106" s="444">
        <f t="shared" si="1"/>
        <v>20513</v>
      </c>
      <c r="E106" s="431">
        <f t="shared" si="0"/>
        <v>97168.207674157849</v>
      </c>
      <c r="F106" s="453">
        <f t="shared" si="5"/>
        <v>0.13268496479053488</v>
      </c>
      <c r="G106" s="453">
        <f t="shared" si="3"/>
        <v>9.433059286641024E-2</v>
      </c>
      <c r="H106" s="177">
        <f>G53/P43_T14!$G$62</f>
        <v>4.1847604824431862E-4</v>
      </c>
    </row>
    <row r="107" spans="3:8" x14ac:dyDescent="0.15">
      <c r="C107" s="441" t="s">
        <v>187</v>
      </c>
      <c r="D107" s="445">
        <f t="shared" si="1"/>
        <v>30252</v>
      </c>
      <c r="E107" s="427">
        <f t="shared" si="0"/>
        <v>55378.153858587873</v>
      </c>
      <c r="F107" s="453">
        <f t="shared" si="5"/>
        <v>0.1426493779676703</v>
      </c>
      <c r="G107" s="453">
        <f t="shared" si="3"/>
        <v>8.1867544298658376E-2</v>
      </c>
      <c r="H107" s="177">
        <f>G54/P43_T14!$G$62</f>
        <v>3.7979695751148325E-4</v>
      </c>
    </row>
    <row r="108" spans="3:8" x14ac:dyDescent="0.15">
      <c r="C108" s="441" t="s">
        <v>244</v>
      </c>
      <c r="D108" s="445">
        <f t="shared" si="1"/>
        <v>141635</v>
      </c>
      <c r="E108" s="427">
        <f t="shared" si="0"/>
        <v>59369.596972287916</v>
      </c>
      <c r="F108" s="453">
        <f t="shared" si="5"/>
        <v>0.16676942937688799</v>
      </c>
      <c r="G108" s="453">
        <f t="shared" si="3"/>
        <v>7.566967198308952E-2</v>
      </c>
      <c r="H108" s="177">
        <f>G55/P43_T14!$G$62</f>
        <v>2.2503460872035789E-3</v>
      </c>
    </row>
    <row r="109" spans="3:8" x14ac:dyDescent="0.15">
      <c r="C109" s="441" t="s">
        <v>185</v>
      </c>
      <c r="D109" s="445">
        <f t="shared" si="1"/>
        <v>20463</v>
      </c>
      <c r="E109" s="427">
        <f t="shared" si="0"/>
        <v>67262.328552509411</v>
      </c>
      <c r="F109" s="453">
        <f t="shared" si="5"/>
        <v>0.11064777758750932</v>
      </c>
      <c r="G109" s="453">
        <f t="shared" si="3"/>
        <v>7.9871681252108251E-2</v>
      </c>
      <c r="H109" s="177">
        <f>G56/P43_T14!$G$62</f>
        <v>2.4123990353468536E-4</v>
      </c>
    </row>
    <row r="110" spans="3:8" x14ac:dyDescent="0.15">
      <c r="C110" s="440" t="s">
        <v>173</v>
      </c>
      <c r="D110" s="444">
        <f t="shared" si="1"/>
        <v>6166</v>
      </c>
      <c r="E110" s="431">
        <f t="shared" si="0"/>
        <v>143032.45842523515</v>
      </c>
      <c r="F110" s="451">
        <f t="shared" si="5"/>
        <v>0.33438324680995873</v>
      </c>
      <c r="G110" s="451">
        <f t="shared" si="3"/>
        <v>0.26482487089005602</v>
      </c>
      <c r="H110" s="177">
        <f>G57/P43_T14!$G$62</f>
        <v>4.6733451387105722E-4</v>
      </c>
    </row>
    <row r="111" spans="3:8" x14ac:dyDescent="0.15">
      <c r="C111" s="441" t="s">
        <v>215</v>
      </c>
      <c r="D111" s="445">
        <f t="shared" si="1"/>
        <v>54894</v>
      </c>
      <c r="E111" s="427">
        <f t="shared" si="0"/>
        <v>70816.703534266038</v>
      </c>
      <c r="F111" s="453">
        <f t="shared" si="5"/>
        <v>0.36037858814531148</v>
      </c>
      <c r="G111" s="453">
        <f t="shared" si="3"/>
        <v>6.1469338630634383E-2</v>
      </c>
      <c r="H111" s="177">
        <f>G58/P43_T14!$G$62</f>
        <v>2.4529859193361493E-3</v>
      </c>
    </row>
    <row r="112" spans="3:8" x14ac:dyDescent="0.15">
      <c r="C112" s="441" t="s">
        <v>156</v>
      </c>
      <c r="D112" s="445">
        <f t="shared" si="1"/>
        <v>3302</v>
      </c>
      <c r="E112" s="427">
        <f t="shared" si="0"/>
        <v>56364.635735917633</v>
      </c>
      <c r="F112" s="453">
        <f t="shared" si="5"/>
        <v>0.17320165775877708</v>
      </c>
      <c r="G112" s="453">
        <f t="shared" si="3"/>
        <v>7.6266745866144028E-2</v>
      </c>
      <c r="H112" s="177">
        <f>G59/P43_T14!$G$62</f>
        <v>5.1081685179964884E-5</v>
      </c>
    </row>
    <row r="113" spans="3:8" x14ac:dyDescent="0.15">
      <c r="C113" s="441" t="s">
        <v>166</v>
      </c>
      <c r="D113" s="445">
        <f t="shared" si="1"/>
        <v>9427</v>
      </c>
      <c r="E113" s="427">
        <f t="shared" si="0"/>
        <v>59505.640965312392</v>
      </c>
      <c r="F113" s="453">
        <f t="shared" si="5"/>
        <v>0.29872025401304259</v>
      </c>
      <c r="G113" s="453">
        <f t="shared" si="3"/>
        <v>7.2331672283063836E-2</v>
      </c>
      <c r="H113" s="177">
        <f>G60/P43_T14!$G$62</f>
        <v>2.6602750455256716E-4</v>
      </c>
    </row>
    <row r="114" spans="3:8" x14ac:dyDescent="0.15">
      <c r="C114" s="441" t="s">
        <v>169</v>
      </c>
      <c r="D114" s="445">
        <f t="shared" si="1"/>
        <v>6784</v>
      </c>
      <c r="E114" s="427">
        <f t="shared" si="0"/>
        <v>67795.166515330187</v>
      </c>
      <c r="F114" s="453">
        <f t="shared" si="5"/>
        <v>9.6706174817535018E-2</v>
      </c>
      <c r="G114" s="453">
        <f t="shared" si="3"/>
        <v>8.5874930272087896E-2</v>
      </c>
      <c r="H114" s="177">
        <f>G61/P43_T14!$G$62</f>
        <v>7.0413633372497927E-5</v>
      </c>
    </row>
  </sheetData>
  <mergeCells count="13">
    <mergeCell ref="T12:T13"/>
    <mergeCell ref="U12:U13"/>
    <mergeCell ref="G12:G13"/>
    <mergeCell ref="P12:P13"/>
    <mergeCell ref="C12:C13"/>
    <mergeCell ref="D12:D13"/>
    <mergeCell ref="E12:E13"/>
    <mergeCell ref="F12:F13"/>
    <mergeCell ref="O12:O13"/>
    <mergeCell ref="H12:N12"/>
    <mergeCell ref="Q12:Q13"/>
    <mergeCell ref="R12:R13"/>
    <mergeCell ref="S12:S13"/>
  </mergeCells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59" firstPageNumber="0" orientation="landscape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10">
    <pageSetUpPr fitToPage="1"/>
  </sheetPr>
  <dimension ref="B3:V102"/>
  <sheetViews>
    <sheetView showGridLines="0" topLeftCell="A52" zoomScale="150" zoomScaleNormal="150" zoomScalePageLayoutView="150" workbookViewId="0">
      <selection activeCell="C90" sqref="C90"/>
    </sheetView>
  </sheetViews>
  <sheetFormatPr baseColWidth="10" defaultColWidth="8.83203125" defaultRowHeight="13" x14ac:dyDescent="0.15"/>
  <cols>
    <col min="1" max="2" width="3.33203125" style="1" customWidth="1"/>
    <col min="3" max="3" width="58.6640625" style="1" customWidth="1"/>
    <col min="4" max="4" width="13.33203125" style="1" customWidth="1"/>
    <col min="5" max="5" width="9.6640625" style="1" customWidth="1"/>
    <col min="6" max="14" width="8.6640625" style="1" customWidth="1"/>
    <col min="15" max="15" width="9.6640625" style="1" customWidth="1"/>
    <col min="16" max="16" width="9.5" style="1" customWidth="1"/>
    <col min="17" max="19" width="8.6640625" style="1" customWidth="1"/>
    <col min="20" max="21" width="9.6640625" style="1" customWidth="1"/>
    <col min="22" max="22" width="3.33203125" style="1" customWidth="1"/>
    <col min="23" max="16384" width="8.83203125" style="1"/>
  </cols>
  <sheetData>
    <row r="3" spans="2:22" ht="14" thickBot="1" x14ac:dyDescent="0.2">
      <c r="B3" s="184">
        <v>2.5</v>
      </c>
      <c r="C3" s="9">
        <v>58</v>
      </c>
      <c r="D3" s="9">
        <v>11</v>
      </c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4">
        <v>2.5</v>
      </c>
    </row>
    <row r="4" spans="2:22" ht="13" customHeight="1" x14ac:dyDescent="0.15">
      <c r="B4" s="69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82"/>
    </row>
    <row r="5" spans="2:22" ht="13" customHeight="1" x14ac:dyDescent="0.15">
      <c r="B5" s="72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4" t="s">
        <v>451</v>
      </c>
      <c r="V5" s="75"/>
    </row>
    <row r="6" spans="2:22" ht="13" customHeight="1" x14ac:dyDescent="0.15"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5"/>
    </row>
    <row r="7" spans="2:22" ht="13" customHeight="1" x14ac:dyDescent="0.15">
      <c r="B7" s="72"/>
      <c r="C7" s="77" t="s">
        <v>438</v>
      </c>
      <c r="D7" s="86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75"/>
    </row>
    <row r="8" spans="2:22" ht="13" customHeight="1" x14ac:dyDescent="0.15">
      <c r="B8" s="72"/>
      <c r="C8" s="86"/>
      <c r="D8" s="86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75"/>
    </row>
    <row r="9" spans="2:22" ht="15" customHeight="1" x14ac:dyDescent="0.15">
      <c r="B9" s="2"/>
      <c r="C9" s="46"/>
      <c r="D9" s="46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22"/>
    </row>
    <row r="10" spans="2:22" ht="15" customHeight="1" x14ac:dyDescent="0.15">
      <c r="B10" s="2"/>
      <c r="C10" s="12" t="s">
        <v>407</v>
      </c>
      <c r="V10" s="22"/>
    </row>
    <row r="11" spans="2:22" ht="15" customHeight="1" thickBot="1" x14ac:dyDescent="0.2">
      <c r="B11" s="2"/>
      <c r="C11" s="12"/>
      <c r="V11" s="22"/>
    </row>
    <row r="12" spans="2:22" ht="15" customHeight="1" thickBot="1" x14ac:dyDescent="0.2">
      <c r="B12" s="2"/>
      <c r="C12" s="477" t="s">
        <v>62</v>
      </c>
      <c r="D12" s="477" t="s">
        <v>68</v>
      </c>
      <c r="E12" s="477" t="s">
        <v>363</v>
      </c>
      <c r="F12" s="477" t="s">
        <v>374</v>
      </c>
      <c r="G12" s="477" t="s">
        <v>0</v>
      </c>
      <c r="H12" s="481" t="s">
        <v>7</v>
      </c>
      <c r="I12" s="481"/>
      <c r="J12" s="481"/>
      <c r="K12" s="481"/>
      <c r="L12" s="481"/>
      <c r="M12" s="481"/>
      <c r="N12" s="481"/>
      <c r="O12" s="477" t="s">
        <v>66</v>
      </c>
      <c r="P12" s="477" t="s">
        <v>40</v>
      </c>
      <c r="Q12" s="477" t="s">
        <v>360</v>
      </c>
      <c r="R12" s="477" t="s">
        <v>361</v>
      </c>
      <c r="S12" s="477" t="s">
        <v>362</v>
      </c>
      <c r="T12" s="477" t="s">
        <v>44</v>
      </c>
      <c r="U12" s="477" t="s">
        <v>46</v>
      </c>
      <c r="V12" s="22"/>
    </row>
    <row r="13" spans="2:22" ht="37" customHeight="1" thickBot="1" x14ac:dyDescent="0.2">
      <c r="B13" s="2"/>
      <c r="C13" s="487"/>
      <c r="D13" s="487"/>
      <c r="E13" s="487"/>
      <c r="F13" s="487"/>
      <c r="G13" s="487"/>
      <c r="H13" s="191" t="s">
        <v>1</v>
      </c>
      <c r="I13" s="191" t="s">
        <v>2</v>
      </c>
      <c r="J13" s="191" t="s">
        <v>3</v>
      </c>
      <c r="K13" s="191" t="s">
        <v>4</v>
      </c>
      <c r="L13" s="191" t="s">
        <v>5</v>
      </c>
      <c r="M13" s="191" t="s">
        <v>67</v>
      </c>
      <c r="N13" s="191" t="s">
        <v>6</v>
      </c>
      <c r="O13" s="487"/>
      <c r="P13" s="487"/>
      <c r="Q13" s="487"/>
      <c r="R13" s="487"/>
      <c r="S13" s="487"/>
      <c r="T13" s="487"/>
      <c r="U13" s="487"/>
      <c r="V13" s="22"/>
    </row>
    <row r="14" spans="2:22" ht="14" customHeight="1" x14ac:dyDescent="0.15">
      <c r="B14" s="2"/>
      <c r="C14" s="200" t="s">
        <v>157</v>
      </c>
      <c r="D14" s="320">
        <v>3861</v>
      </c>
      <c r="E14" s="321">
        <v>0.15672629342</v>
      </c>
      <c r="F14" s="321">
        <v>1.338843342E-2</v>
      </c>
      <c r="G14" s="321">
        <v>3.8201270740000001E-2</v>
      </c>
      <c r="H14" s="201">
        <v>7.5621489799999999E-3</v>
      </c>
      <c r="I14" s="201">
        <v>5.6915191200000003E-3</v>
      </c>
      <c r="J14" s="201">
        <v>2.8081095799999999E-3</v>
      </c>
      <c r="K14" s="201">
        <v>5.0017895899999998E-3</v>
      </c>
      <c r="L14" s="201">
        <v>7.4067586000000003E-4</v>
      </c>
      <c r="M14" s="201">
        <v>2.7489868399999998E-3</v>
      </c>
      <c r="N14" s="201">
        <v>1.4593905989999996E-2</v>
      </c>
      <c r="O14" s="201">
        <v>0.11897684021999999</v>
      </c>
      <c r="P14" s="201">
        <v>8.9996554099999997E-3</v>
      </c>
      <c r="Q14" s="201">
        <v>9.8406823600000002E-3</v>
      </c>
      <c r="R14" s="201">
        <v>1.0670783499999999E-3</v>
      </c>
      <c r="S14" s="201">
        <v>1.9544142400000001E-3</v>
      </c>
      <c r="T14" s="201">
        <v>0.31689080167000006</v>
      </c>
      <c r="U14" s="201">
        <v>3.4497663960000001E-2</v>
      </c>
      <c r="V14" s="88">
        <v>96</v>
      </c>
    </row>
    <row r="15" spans="2:22" ht="14" customHeight="1" x14ac:dyDescent="0.15">
      <c r="B15" s="2"/>
      <c r="C15" s="326" t="s">
        <v>151</v>
      </c>
      <c r="D15" s="327">
        <v>2408</v>
      </c>
      <c r="E15" s="328">
        <v>8.0310564850000002E-2</v>
      </c>
      <c r="F15" s="328">
        <v>2.0013408920000003E-2</v>
      </c>
      <c r="G15" s="328">
        <v>9.819673827E-2</v>
      </c>
      <c r="H15" s="197">
        <v>7.4486050000000003E-4</v>
      </c>
      <c r="I15" s="197">
        <v>3.3018240000000002E-4</v>
      </c>
      <c r="J15" s="197">
        <v>2.1819265999999999E-4</v>
      </c>
      <c r="K15" s="197">
        <v>4.07196984E-3</v>
      </c>
      <c r="L15" s="197">
        <v>5.9692319400000008E-3</v>
      </c>
      <c r="M15" s="197">
        <v>5.9191359999999994E-5</v>
      </c>
      <c r="N15" s="197">
        <v>1.049980052E-2</v>
      </c>
      <c r="O15" s="197">
        <v>6.0103586919999993E-2</v>
      </c>
      <c r="P15" s="197">
        <v>3.7328610600000003E-3</v>
      </c>
      <c r="Q15" s="197">
        <v>2.6999096299999996E-3</v>
      </c>
      <c r="R15" s="197">
        <v>1.25701425E-3</v>
      </c>
      <c r="S15" s="197">
        <v>5.2237111999999994E-4</v>
      </c>
      <c r="T15" s="197">
        <v>0.86410039941000005</v>
      </c>
      <c r="U15" s="197">
        <v>8.9349548390000005E-2</v>
      </c>
      <c r="V15" s="88">
        <v>97</v>
      </c>
    </row>
    <row r="16" spans="2:22" ht="14" customHeight="1" x14ac:dyDescent="0.15">
      <c r="B16" s="2"/>
      <c r="C16" s="326" t="s">
        <v>145</v>
      </c>
      <c r="D16" s="327">
        <v>1398</v>
      </c>
      <c r="E16" s="328">
        <v>4.6520625460000006E-2</v>
      </c>
      <c r="F16" s="328">
        <v>5.2437983799999994E-3</v>
      </c>
      <c r="G16" s="328">
        <v>3.8595749919999998E-2</v>
      </c>
      <c r="H16" s="197">
        <v>9.3366468000000006E-4</v>
      </c>
      <c r="I16" s="197">
        <v>7.7386499999999999E-4</v>
      </c>
      <c r="J16" s="197">
        <v>3.9825927000000004E-4</v>
      </c>
      <c r="K16" s="197">
        <v>1.34422925E-3</v>
      </c>
      <c r="L16" s="197">
        <v>1.1714081599999999E-3</v>
      </c>
      <c r="M16" s="197">
        <v>3.5634459E-4</v>
      </c>
      <c r="N16" s="197">
        <v>5.4557514000000001E-3</v>
      </c>
      <c r="O16" s="197">
        <v>3.6195777009999999E-2</v>
      </c>
      <c r="P16" s="197">
        <v>2.5673599300000001E-3</v>
      </c>
      <c r="Q16" s="197">
        <v>2.0999904800000002E-3</v>
      </c>
      <c r="R16" s="197">
        <v>8.8639397E-4</v>
      </c>
      <c r="S16" s="197">
        <v>4.5400683999999997E-4</v>
      </c>
      <c r="T16" s="197">
        <v>0.26227938386999999</v>
      </c>
      <c r="U16" s="197">
        <v>3.122236313E-2</v>
      </c>
      <c r="V16" s="88">
        <v>98</v>
      </c>
    </row>
    <row r="17" spans="2:22" ht="14" customHeight="1" x14ac:dyDescent="0.15">
      <c r="B17" s="2"/>
      <c r="C17" s="326" t="s">
        <v>180</v>
      </c>
      <c r="D17" s="327">
        <v>5893</v>
      </c>
      <c r="E17" s="328">
        <v>0.87793220891000001</v>
      </c>
      <c r="F17" s="328">
        <v>9.6636031730000002E-2</v>
      </c>
      <c r="G17" s="328">
        <v>0.41473214442999995</v>
      </c>
      <c r="H17" s="197">
        <v>8.0238811599999994E-3</v>
      </c>
      <c r="I17" s="197">
        <v>5.7616828799999997E-3</v>
      </c>
      <c r="J17" s="197">
        <v>3.3166015400000002E-3</v>
      </c>
      <c r="K17" s="197">
        <v>8.9431719100000005E-3</v>
      </c>
      <c r="L17" s="197">
        <v>1.3340370800000001E-3</v>
      </c>
      <c r="M17" s="197">
        <v>1.1882615489999998E-2</v>
      </c>
      <c r="N17" s="197">
        <v>2.9817749929999998E-2</v>
      </c>
      <c r="O17" s="197">
        <v>0.81096945207999993</v>
      </c>
      <c r="P17" s="197">
        <v>0.18684526279999999</v>
      </c>
      <c r="Q17" s="197">
        <v>0.1871765091</v>
      </c>
      <c r="R17" s="197">
        <v>6.7413434700000002E-3</v>
      </c>
      <c r="S17" s="197">
        <v>7.4457948800000003E-3</v>
      </c>
      <c r="T17" s="197">
        <v>4.8097466362099999</v>
      </c>
      <c r="U17" s="197">
        <v>0.29098876780000005</v>
      </c>
      <c r="V17" s="88">
        <v>99</v>
      </c>
    </row>
    <row r="18" spans="2:22" ht="14" customHeight="1" x14ac:dyDescent="0.15">
      <c r="B18" s="2"/>
      <c r="C18" s="326" t="s">
        <v>263</v>
      </c>
      <c r="D18" s="327">
        <v>489473</v>
      </c>
      <c r="E18" s="328">
        <v>24.625523947479998</v>
      </c>
      <c r="F18" s="328">
        <v>2.54453371492</v>
      </c>
      <c r="G18" s="328">
        <v>2.85240012555</v>
      </c>
      <c r="H18" s="197">
        <v>1.59338928809</v>
      </c>
      <c r="I18" s="197">
        <v>0.900417723</v>
      </c>
      <c r="J18" s="197">
        <v>0.59672159840999994</v>
      </c>
      <c r="K18" s="197">
        <v>1.0712454901599999</v>
      </c>
      <c r="L18" s="197">
        <v>5.404892561E-2</v>
      </c>
      <c r="M18" s="197">
        <v>0.32578407207999999</v>
      </c>
      <c r="N18" s="197">
        <v>1.7893928848999998</v>
      </c>
      <c r="O18" s="197">
        <v>18.47053090579</v>
      </c>
      <c r="P18" s="197">
        <v>1.6704680084699999</v>
      </c>
      <c r="Q18" s="197">
        <v>1.9025409711900001</v>
      </c>
      <c r="R18" s="197">
        <v>0.14812138227999999</v>
      </c>
      <c r="S18" s="197">
        <v>0.38248349836000001</v>
      </c>
      <c r="T18" s="197">
        <v>33.610815795839997</v>
      </c>
      <c r="U18" s="197">
        <v>5.1395462334999999</v>
      </c>
      <c r="V18" s="88">
        <v>100</v>
      </c>
    </row>
    <row r="19" spans="2:22" ht="14" customHeight="1" x14ac:dyDescent="0.15">
      <c r="B19" s="2"/>
      <c r="C19" s="326" t="s">
        <v>273</v>
      </c>
      <c r="D19" s="327">
        <v>1099049</v>
      </c>
      <c r="E19" s="328">
        <v>54.846264969559996</v>
      </c>
      <c r="F19" s="450">
        <v>10.36299847223</v>
      </c>
      <c r="G19" s="328">
        <v>9.4039488300999992</v>
      </c>
      <c r="H19" s="197">
        <v>3.6168063246099997</v>
      </c>
      <c r="I19" s="197">
        <v>1.49294861256</v>
      </c>
      <c r="J19" s="197">
        <v>1.2059492949699999</v>
      </c>
      <c r="K19" s="197">
        <v>2.2333414969100001</v>
      </c>
      <c r="L19" s="197">
        <v>4.2626546090000002E-2</v>
      </c>
      <c r="M19" s="197">
        <v>0.34666600353999999</v>
      </c>
      <c r="N19" s="197">
        <v>4.16032736919</v>
      </c>
      <c r="O19" s="197">
        <v>41.886471143969999</v>
      </c>
      <c r="P19" s="197">
        <v>3.9082989368000001</v>
      </c>
      <c r="Q19" s="197">
        <v>4.3167552628200001</v>
      </c>
      <c r="R19" s="197">
        <v>0.33257843067999993</v>
      </c>
      <c r="S19" s="197">
        <v>0.74659484996000003</v>
      </c>
      <c r="T19" s="197">
        <v>123.01859665109001</v>
      </c>
      <c r="U19" s="197">
        <v>21.460341277929999</v>
      </c>
      <c r="V19" s="88">
        <v>101</v>
      </c>
    </row>
    <row r="20" spans="2:22" ht="14" customHeight="1" x14ac:dyDescent="0.15">
      <c r="B20" s="2"/>
      <c r="C20" s="326" t="s">
        <v>236</v>
      </c>
      <c r="D20" s="327">
        <v>154334</v>
      </c>
      <c r="E20" s="328">
        <v>5.5920268933099999</v>
      </c>
      <c r="F20" s="328">
        <v>0.55728811108000009</v>
      </c>
      <c r="G20" s="328">
        <v>0.81281584182</v>
      </c>
      <c r="H20" s="197">
        <v>0.28671566139999999</v>
      </c>
      <c r="I20" s="197">
        <v>0.17761130387999999</v>
      </c>
      <c r="J20" s="197">
        <v>9.7430277450000005E-2</v>
      </c>
      <c r="K20" s="197">
        <v>0.18290013377</v>
      </c>
      <c r="L20" s="197">
        <v>4.7481110460000003E-2</v>
      </c>
      <c r="M20" s="197">
        <v>3.2886649770000005E-2</v>
      </c>
      <c r="N20" s="197">
        <v>0.55858360741000002</v>
      </c>
      <c r="O20" s="197">
        <v>4.2393591089699996</v>
      </c>
      <c r="P20" s="197">
        <v>0.23415226565000002</v>
      </c>
      <c r="Q20" s="197">
        <v>0.26301600894999999</v>
      </c>
      <c r="R20" s="197">
        <v>3.6076452620000005E-2</v>
      </c>
      <c r="S20" s="197">
        <v>6.6245720130000005E-2</v>
      </c>
      <c r="T20" s="197">
        <v>9.6316264571599994</v>
      </c>
      <c r="U20" s="197">
        <v>1.2467501243600001</v>
      </c>
      <c r="V20" s="88">
        <v>102</v>
      </c>
    </row>
    <row r="21" spans="2:22" ht="14" customHeight="1" x14ac:dyDescent="0.15">
      <c r="B21" s="2"/>
      <c r="C21" s="326" t="s">
        <v>189</v>
      </c>
      <c r="D21" s="327">
        <v>27589</v>
      </c>
      <c r="E21" s="328">
        <v>1.2037220020399999</v>
      </c>
      <c r="F21" s="328">
        <v>0.11011731614</v>
      </c>
      <c r="G21" s="328">
        <v>0.27437973908000002</v>
      </c>
      <c r="H21" s="197">
        <v>4.46048317E-2</v>
      </c>
      <c r="I21" s="197">
        <v>2.0838636719999998E-2</v>
      </c>
      <c r="J21" s="197">
        <v>1.7314303579999999E-2</v>
      </c>
      <c r="K21" s="197">
        <v>4.1146187649999999E-2</v>
      </c>
      <c r="L21" s="197">
        <v>2.9837297099999998E-3</v>
      </c>
      <c r="M21" s="197">
        <v>7.2007478999999994E-3</v>
      </c>
      <c r="N21" s="197">
        <v>0.14283599368999997</v>
      </c>
      <c r="O21" s="197">
        <v>0.93085964764000007</v>
      </c>
      <c r="P21" s="197">
        <v>6.7976653540000001E-2</v>
      </c>
      <c r="Q21" s="197">
        <v>8.5584741540000009E-2</v>
      </c>
      <c r="R21" s="197">
        <v>4.7004383399999999E-3</v>
      </c>
      <c r="S21" s="197">
        <v>2.3010475740000001E-2</v>
      </c>
      <c r="T21" s="197">
        <v>3.0801720378499997</v>
      </c>
      <c r="U21" s="197">
        <v>0.40756820682000006</v>
      </c>
      <c r="V21" s="88">
        <v>103</v>
      </c>
    </row>
    <row r="22" spans="2:22" ht="14" customHeight="1" x14ac:dyDescent="0.15">
      <c r="B22" s="2"/>
      <c r="C22" s="326" t="s">
        <v>170</v>
      </c>
      <c r="D22" s="327">
        <v>18538</v>
      </c>
      <c r="E22" s="328">
        <v>0.39329757309000002</v>
      </c>
      <c r="F22" s="328">
        <v>3.1842893249999997E-2</v>
      </c>
      <c r="G22" s="328">
        <v>9.5494297209999995E-2</v>
      </c>
      <c r="H22" s="197">
        <v>1.0123093370000001E-2</v>
      </c>
      <c r="I22" s="197">
        <v>7.0659033600000004E-3</v>
      </c>
      <c r="J22" s="197">
        <v>1.8715181799999999E-3</v>
      </c>
      <c r="K22" s="197">
        <v>7.3264735099999997E-3</v>
      </c>
      <c r="L22" s="197">
        <v>6.7420626000000005E-4</v>
      </c>
      <c r="M22" s="197">
        <v>7.0771859999999996E-4</v>
      </c>
      <c r="N22" s="197">
        <v>5.5740871880000001E-2</v>
      </c>
      <c r="O22" s="197">
        <v>0.31373022022999997</v>
      </c>
      <c r="P22" s="197">
        <v>7.3065829099999997E-3</v>
      </c>
      <c r="Q22" s="197">
        <v>7.5456194800000006E-3</v>
      </c>
      <c r="R22" s="197">
        <v>2.1149921700000002E-3</v>
      </c>
      <c r="S22" s="197">
        <v>2.6766642599999999E-3</v>
      </c>
      <c r="T22" s="197">
        <v>0.98833404013000004</v>
      </c>
      <c r="U22" s="197">
        <v>6.0340959969999997E-2</v>
      </c>
      <c r="V22" s="88">
        <v>104</v>
      </c>
    </row>
    <row r="23" spans="2:22" ht="14" customHeight="1" x14ac:dyDescent="0.15">
      <c r="B23" s="2"/>
      <c r="C23" s="326" t="s">
        <v>196</v>
      </c>
      <c r="D23" s="327">
        <v>50830</v>
      </c>
      <c r="E23" s="328">
        <v>1.6007917658699999</v>
      </c>
      <c r="F23" s="328">
        <v>0.13762786364999999</v>
      </c>
      <c r="G23" s="328">
        <v>0.31998006553999997</v>
      </c>
      <c r="H23" s="197">
        <v>6.5783810349999999E-2</v>
      </c>
      <c r="I23" s="197">
        <v>4.9409732520000006E-2</v>
      </c>
      <c r="J23" s="197">
        <v>1.730315063E-2</v>
      </c>
      <c r="K23" s="197">
        <v>3.3402447129999999E-2</v>
      </c>
      <c r="L23" s="197">
        <v>7.5307647500000002E-3</v>
      </c>
      <c r="M23" s="197">
        <v>8.4693483900000009E-3</v>
      </c>
      <c r="N23" s="197">
        <v>0.19448618556000002</v>
      </c>
      <c r="O23" s="197">
        <v>1.2381346566799998</v>
      </c>
      <c r="P23" s="197">
        <v>5.2775559539999996E-2</v>
      </c>
      <c r="Q23" s="197">
        <v>6.0656670930000003E-2</v>
      </c>
      <c r="R23" s="197">
        <v>7.6100219599999994E-3</v>
      </c>
      <c r="S23" s="197">
        <v>1.636286738E-2</v>
      </c>
      <c r="T23" s="197">
        <v>3.4296180119500002</v>
      </c>
      <c r="U23" s="197">
        <v>0.37749955216999997</v>
      </c>
      <c r="V23" s="88">
        <v>105</v>
      </c>
    </row>
    <row r="24" spans="2:22" ht="14" customHeight="1" x14ac:dyDescent="0.15">
      <c r="B24" s="2"/>
      <c r="C24" s="326" t="s">
        <v>205</v>
      </c>
      <c r="D24" s="327">
        <v>58995</v>
      </c>
      <c r="E24" s="328">
        <v>2.0246678028299998</v>
      </c>
      <c r="F24" s="328">
        <v>0.17115152412000001</v>
      </c>
      <c r="G24" s="328">
        <v>0.22271644365999999</v>
      </c>
      <c r="H24" s="197">
        <v>9.9172054549999999E-2</v>
      </c>
      <c r="I24" s="197">
        <v>0.10118852376000001</v>
      </c>
      <c r="J24" s="197">
        <v>2.9961802860000001E-2</v>
      </c>
      <c r="K24" s="197">
        <v>5.0881206270000007E-2</v>
      </c>
      <c r="L24" s="197">
        <v>5.9543854400000004E-3</v>
      </c>
      <c r="M24" s="197">
        <v>1.4547055450000002E-2</v>
      </c>
      <c r="N24" s="197">
        <v>0.20796109934999996</v>
      </c>
      <c r="O24" s="197">
        <v>1.5232223378300001</v>
      </c>
      <c r="P24" s="197">
        <v>5.6842339259999999E-2</v>
      </c>
      <c r="Q24" s="197">
        <v>6.2895942810000008E-2</v>
      </c>
      <c r="R24" s="197">
        <v>1.2232672869999999E-2</v>
      </c>
      <c r="S24" s="197">
        <v>1.862563469E-2</v>
      </c>
      <c r="T24" s="197">
        <v>2.6046693431500003</v>
      </c>
      <c r="U24" s="197">
        <v>0.27917855444999995</v>
      </c>
      <c r="V24" s="88">
        <v>106</v>
      </c>
    </row>
    <row r="25" spans="2:22" ht="14" customHeight="1" x14ac:dyDescent="0.15">
      <c r="B25" s="2"/>
      <c r="C25" s="326" t="s">
        <v>245</v>
      </c>
      <c r="D25" s="327">
        <v>160246</v>
      </c>
      <c r="E25" s="328">
        <v>6.9948594498599999</v>
      </c>
      <c r="F25" s="328">
        <v>0.55923910234999996</v>
      </c>
      <c r="G25" s="328">
        <v>0.54472407100000009</v>
      </c>
      <c r="H25" s="197">
        <v>0.38605643854999994</v>
      </c>
      <c r="I25" s="197">
        <v>0.27183916992000001</v>
      </c>
      <c r="J25" s="197">
        <v>0.17554172054</v>
      </c>
      <c r="K25" s="197">
        <v>0.35414537395999995</v>
      </c>
      <c r="L25" s="197">
        <v>1.6356916799999999E-2</v>
      </c>
      <c r="M25" s="197">
        <v>7.4298365359999993E-2</v>
      </c>
      <c r="N25" s="197">
        <v>0.60977843451000013</v>
      </c>
      <c r="O25" s="197">
        <v>5.1495234729900004</v>
      </c>
      <c r="P25" s="197">
        <v>0.30586486259000001</v>
      </c>
      <c r="Q25" s="197">
        <v>0.32717295347999997</v>
      </c>
      <c r="R25" s="197">
        <v>6.6102856959999998E-2</v>
      </c>
      <c r="S25" s="197">
        <v>8.786054640999999E-2</v>
      </c>
      <c r="T25" s="197">
        <v>6.5913966964200004</v>
      </c>
      <c r="U25" s="197">
        <v>1.22359817762</v>
      </c>
      <c r="V25" s="88">
        <v>107</v>
      </c>
    </row>
    <row r="26" spans="2:22" ht="14" customHeight="1" x14ac:dyDescent="0.15">
      <c r="B26" s="2"/>
      <c r="C26" s="326" t="s">
        <v>200</v>
      </c>
      <c r="D26" s="327">
        <v>70285</v>
      </c>
      <c r="E26" s="328">
        <v>1.70777959903</v>
      </c>
      <c r="F26" s="328">
        <v>5.5511306499999996E-2</v>
      </c>
      <c r="G26" s="328">
        <v>0.41311184455000005</v>
      </c>
      <c r="H26" s="197">
        <v>1.192191372E-2</v>
      </c>
      <c r="I26" s="197">
        <v>1.678977504E-2</v>
      </c>
      <c r="J26" s="197">
        <v>6.6623351600000004E-3</v>
      </c>
      <c r="K26" s="197">
        <v>1.8697343379999998E-2</v>
      </c>
      <c r="L26" s="197">
        <v>6.6921347859999994E-2</v>
      </c>
      <c r="M26" s="197">
        <v>1.88129941E-3</v>
      </c>
      <c r="N26" s="197">
        <v>0.26502372943000002</v>
      </c>
      <c r="O26" s="197">
        <v>1.32440275264</v>
      </c>
      <c r="P26" s="197">
        <v>2.1281669770000001E-2</v>
      </c>
      <c r="Q26" s="197">
        <v>1.408350712E-2</v>
      </c>
      <c r="R26" s="197">
        <v>9.6614347099999998E-3</v>
      </c>
      <c r="S26" s="197">
        <v>4.8884508300000001E-3</v>
      </c>
      <c r="T26" s="197">
        <v>4.5563190548799994</v>
      </c>
      <c r="U26" s="197">
        <v>0.46724003607999998</v>
      </c>
      <c r="V26" s="88">
        <v>108</v>
      </c>
    </row>
    <row r="27" spans="2:22" ht="14" customHeight="1" x14ac:dyDescent="0.15">
      <c r="B27" s="2"/>
      <c r="C27" s="326" t="s">
        <v>230</v>
      </c>
      <c r="D27" s="327">
        <v>127339</v>
      </c>
      <c r="E27" s="328">
        <v>5.0864065085499996</v>
      </c>
      <c r="F27" s="328">
        <v>0.42389355581999999</v>
      </c>
      <c r="G27" s="328">
        <v>0.32284675149999997</v>
      </c>
      <c r="H27" s="197">
        <v>0.35684584465999997</v>
      </c>
      <c r="I27" s="197">
        <v>0.31913573507999998</v>
      </c>
      <c r="J27" s="197">
        <v>0.14271682406</v>
      </c>
      <c r="K27" s="197">
        <v>0.21940760318999999</v>
      </c>
      <c r="L27" s="197">
        <v>2.9184831200000003E-3</v>
      </c>
      <c r="M27" s="197">
        <v>0.10004854252000001</v>
      </c>
      <c r="N27" s="197">
        <v>0.34802778044000027</v>
      </c>
      <c r="O27" s="197">
        <v>3.6268391931299999</v>
      </c>
      <c r="P27" s="197">
        <v>0.16347419088999998</v>
      </c>
      <c r="Q27" s="197">
        <v>0.22190584527000001</v>
      </c>
      <c r="R27" s="197">
        <v>1.6049255160000001E-2</v>
      </c>
      <c r="S27" s="197">
        <v>7.4549964909999988E-2</v>
      </c>
      <c r="T27" s="197">
        <v>4.3767456688999999</v>
      </c>
      <c r="U27" s="197">
        <v>0.75222636986000002</v>
      </c>
      <c r="V27" s="88">
        <v>109</v>
      </c>
    </row>
    <row r="28" spans="2:22" ht="14" customHeight="1" x14ac:dyDescent="0.15">
      <c r="B28" s="2"/>
      <c r="C28" s="326" t="s">
        <v>249</v>
      </c>
      <c r="D28" s="327">
        <v>374364</v>
      </c>
      <c r="E28" s="328">
        <v>11.05052575817</v>
      </c>
      <c r="F28" s="328">
        <v>0.67039390653999997</v>
      </c>
      <c r="G28" s="328">
        <v>3.2693946969800001</v>
      </c>
      <c r="H28" s="197">
        <v>0.43846289200999999</v>
      </c>
      <c r="I28" s="197">
        <v>0.56749480908000005</v>
      </c>
      <c r="J28" s="197">
        <v>0.10301056377999999</v>
      </c>
      <c r="K28" s="197">
        <v>0.25222150531999998</v>
      </c>
      <c r="L28" s="197">
        <v>0.25556595374000002</v>
      </c>
      <c r="M28" s="197">
        <v>0.11487713652999999</v>
      </c>
      <c r="N28" s="197">
        <v>1.2092183159999994</v>
      </c>
      <c r="O28" s="197">
        <v>8.1677985539799991</v>
      </c>
      <c r="P28" s="197">
        <v>0.17256066125</v>
      </c>
      <c r="Q28" s="197">
        <v>0.19113500308000003</v>
      </c>
      <c r="R28" s="197">
        <v>5.4897115810000008E-2</v>
      </c>
      <c r="S28" s="197">
        <v>7.5945785930000009E-2</v>
      </c>
      <c r="T28" s="197">
        <v>25.58327492135</v>
      </c>
      <c r="U28" s="197">
        <v>2.6802845399700002</v>
      </c>
      <c r="V28" s="88">
        <v>110</v>
      </c>
    </row>
    <row r="29" spans="2:22" ht="14" customHeight="1" x14ac:dyDescent="0.15">
      <c r="B29" s="2"/>
      <c r="C29" s="326" t="s">
        <v>259</v>
      </c>
      <c r="D29" s="327">
        <v>614207</v>
      </c>
      <c r="E29" s="328">
        <v>19.118802433310002</v>
      </c>
      <c r="F29" s="328">
        <v>1.6748032847699998</v>
      </c>
      <c r="G29" s="328">
        <v>4.7679661755600007</v>
      </c>
      <c r="H29" s="197">
        <v>0.73741881508999996</v>
      </c>
      <c r="I29" s="197">
        <v>0.70027353396000003</v>
      </c>
      <c r="J29" s="197">
        <v>0.24097248734000001</v>
      </c>
      <c r="K29" s="197">
        <v>0.45120177883000001</v>
      </c>
      <c r="L29" s="197">
        <v>0.16328150844</v>
      </c>
      <c r="M29" s="197">
        <v>0.14798786609999998</v>
      </c>
      <c r="N29" s="197">
        <v>2.1767223132300004</v>
      </c>
      <c r="O29" s="197">
        <v>14.584146009249999</v>
      </c>
      <c r="P29" s="197">
        <v>0.62468998662999997</v>
      </c>
      <c r="Q29" s="197">
        <v>0.70731085329999999</v>
      </c>
      <c r="R29" s="197">
        <v>0.10807018136999999</v>
      </c>
      <c r="S29" s="197">
        <v>0.19979537479000001</v>
      </c>
      <c r="T29" s="197">
        <v>44.369435449130002</v>
      </c>
      <c r="U29" s="197">
        <v>4.6089487165400005</v>
      </c>
      <c r="V29" s="88">
        <v>111</v>
      </c>
    </row>
    <row r="30" spans="2:22" ht="14" customHeight="1" x14ac:dyDescent="0.15">
      <c r="B30" s="2"/>
      <c r="C30" s="326" t="s">
        <v>266</v>
      </c>
      <c r="D30" s="327">
        <v>906815</v>
      </c>
      <c r="E30" s="328">
        <v>28.658268222909999</v>
      </c>
      <c r="F30" s="328">
        <v>2.0533861393900001</v>
      </c>
      <c r="G30" s="328">
        <v>5.5533862247000005</v>
      </c>
      <c r="H30" s="197">
        <v>0.82440877099999998</v>
      </c>
      <c r="I30" s="197">
        <v>0.69804273912000003</v>
      </c>
      <c r="J30" s="197">
        <v>0.41486607672000003</v>
      </c>
      <c r="K30" s="197">
        <v>0.60918964584000002</v>
      </c>
      <c r="L30" s="197">
        <v>0.54378178209000005</v>
      </c>
      <c r="M30" s="197">
        <v>0.14733199406000003</v>
      </c>
      <c r="N30" s="197">
        <v>3.4622304628899996</v>
      </c>
      <c r="O30" s="197">
        <v>22.054729395149998</v>
      </c>
      <c r="P30" s="197">
        <v>1.1493905194</v>
      </c>
      <c r="Q30" s="197">
        <v>1.2738515397800001</v>
      </c>
      <c r="R30" s="197">
        <v>0.19380300893999999</v>
      </c>
      <c r="S30" s="197">
        <v>0.34066418891</v>
      </c>
      <c r="T30" s="197">
        <v>68.169950047019995</v>
      </c>
      <c r="U30" s="197">
        <v>7.4662980779000003</v>
      </c>
      <c r="V30" s="88">
        <v>112</v>
      </c>
    </row>
    <row r="31" spans="2:22" ht="14" customHeight="1" x14ac:dyDescent="0.15">
      <c r="B31" s="2"/>
      <c r="C31" s="326" t="s">
        <v>254</v>
      </c>
      <c r="D31" s="327">
        <v>358203</v>
      </c>
      <c r="E31" s="328">
        <v>13.642715177830002</v>
      </c>
      <c r="F31" s="328">
        <v>3.3943009320600002</v>
      </c>
      <c r="G31" s="450">
        <v>29.669313191000001</v>
      </c>
      <c r="H31" s="197">
        <v>9.0117512810000008E-2</v>
      </c>
      <c r="I31" s="197">
        <v>0.18372174191999999</v>
      </c>
      <c r="J31" s="197">
        <v>6.5809132379999996E-2</v>
      </c>
      <c r="K31" s="197">
        <v>0.41492524645000001</v>
      </c>
      <c r="L31" s="197">
        <v>8.5335185989999993E-2</v>
      </c>
      <c r="M31" s="197">
        <v>5.877577279E-2</v>
      </c>
      <c r="N31" s="197">
        <v>1.4912333894500001</v>
      </c>
      <c r="O31" s="197">
        <v>11.349498885580001</v>
      </c>
      <c r="P31" s="197">
        <v>1.3118000304900002</v>
      </c>
      <c r="Q31" s="197">
        <v>0.24953713316000001</v>
      </c>
      <c r="R31" s="197">
        <v>1.0733863050800001</v>
      </c>
      <c r="S31" s="197">
        <v>2.3648442239999998E-2</v>
      </c>
      <c r="T31" s="197">
        <v>235.83522321588998</v>
      </c>
      <c r="U31" s="197">
        <v>56.912440285599999</v>
      </c>
      <c r="V31" s="88">
        <v>113</v>
      </c>
    </row>
    <row r="32" spans="2:22" ht="14" customHeight="1" x14ac:dyDescent="0.15">
      <c r="B32" s="2"/>
      <c r="C32" s="326" t="s">
        <v>195</v>
      </c>
      <c r="D32" s="327">
        <v>63838</v>
      </c>
      <c r="E32" s="328">
        <v>1.6921701685899999</v>
      </c>
      <c r="F32" s="328">
        <v>0.15614595050000002</v>
      </c>
      <c r="G32" s="328">
        <v>1.4418903208099998</v>
      </c>
      <c r="H32" s="197">
        <v>4.0805041800000004E-2</v>
      </c>
      <c r="I32" s="197">
        <v>5.5633670759999997E-2</v>
      </c>
      <c r="J32" s="197">
        <v>8.8931511900000003E-3</v>
      </c>
      <c r="K32" s="197">
        <v>2.9829969440000003E-2</v>
      </c>
      <c r="L32" s="197">
        <v>1.3770436470000001E-2</v>
      </c>
      <c r="M32" s="197">
        <v>7.3213551200000003E-3</v>
      </c>
      <c r="N32" s="197">
        <v>0.21796700527999999</v>
      </c>
      <c r="O32" s="197">
        <v>1.32668925515</v>
      </c>
      <c r="P32" s="197">
        <v>5.522135903E-2</v>
      </c>
      <c r="Q32" s="197">
        <v>3.6617309319999999E-2</v>
      </c>
      <c r="R32" s="197">
        <v>2.7961741810000003E-2</v>
      </c>
      <c r="S32" s="197">
        <v>9.7666498399999989E-3</v>
      </c>
      <c r="T32" s="197">
        <v>11.922749814180001</v>
      </c>
      <c r="U32" s="197">
        <v>1.1346240213100001</v>
      </c>
      <c r="V32" s="88">
        <v>114</v>
      </c>
    </row>
    <row r="33" spans="2:22" ht="14" customHeight="1" x14ac:dyDescent="0.15">
      <c r="B33" s="2"/>
      <c r="C33" s="326" t="s">
        <v>149</v>
      </c>
      <c r="D33" s="327">
        <v>3576</v>
      </c>
      <c r="E33" s="328">
        <v>8.8925466590000002E-2</v>
      </c>
      <c r="F33" s="328">
        <v>5.5953567700000005E-3</v>
      </c>
      <c r="G33" s="328">
        <v>6.4293260909999997E-2</v>
      </c>
      <c r="H33" s="197">
        <v>6.9571682999999991E-4</v>
      </c>
      <c r="I33" s="197">
        <v>1.5993209999999999E-3</v>
      </c>
      <c r="J33" s="197">
        <v>3.7455698E-4</v>
      </c>
      <c r="K33" s="197">
        <v>1.2304077400000001E-3</v>
      </c>
      <c r="L33" s="197">
        <v>1.25238857E-3</v>
      </c>
      <c r="M33" s="197">
        <v>3.4573933000000005E-4</v>
      </c>
      <c r="N33" s="197">
        <v>1.286630838E-2</v>
      </c>
      <c r="O33" s="197">
        <v>7.0649451680000003E-2</v>
      </c>
      <c r="P33" s="197">
        <v>2.5361383199999999E-3</v>
      </c>
      <c r="Q33" s="197">
        <v>1.2285676400000001E-3</v>
      </c>
      <c r="R33" s="197">
        <v>1.6080790000000001E-3</v>
      </c>
      <c r="S33" s="197">
        <v>3.6343626000000001E-4</v>
      </c>
      <c r="T33" s="197">
        <v>0.47189365277</v>
      </c>
      <c r="U33" s="197">
        <v>3.5950538779999999E-2</v>
      </c>
      <c r="V33" s="88">
        <v>115</v>
      </c>
    </row>
    <row r="34" spans="2:22" ht="14" customHeight="1" x14ac:dyDescent="0.15">
      <c r="B34" s="2"/>
      <c r="C34" s="326" t="s">
        <v>171</v>
      </c>
      <c r="D34" s="327">
        <v>20813</v>
      </c>
      <c r="E34" s="328">
        <v>0.64474440361000007</v>
      </c>
      <c r="F34" s="328">
        <v>5.6426540050000001E-2</v>
      </c>
      <c r="G34" s="328">
        <v>5.5705398660000002E-2</v>
      </c>
      <c r="H34" s="197">
        <v>3.5997712839999994E-2</v>
      </c>
      <c r="I34" s="197">
        <v>4.8505858200000002E-2</v>
      </c>
      <c r="J34" s="197">
        <v>4.7972639999999999E-3</v>
      </c>
      <c r="K34" s="197">
        <v>1.2540526680000001E-2</v>
      </c>
      <c r="L34" s="197">
        <v>4.4123131799999995E-3</v>
      </c>
      <c r="M34" s="197">
        <v>3.9795069900000002E-3</v>
      </c>
      <c r="N34" s="197">
        <v>5.7822151749999995E-2</v>
      </c>
      <c r="O34" s="197">
        <v>0.47980766275999998</v>
      </c>
      <c r="P34" s="197">
        <v>1.095806297E-2</v>
      </c>
      <c r="Q34" s="197">
        <v>1.1931119269999999E-2</v>
      </c>
      <c r="R34" s="197">
        <v>4.6093426599999997E-3</v>
      </c>
      <c r="S34" s="197">
        <v>5.6018240999999996E-3</v>
      </c>
      <c r="T34" s="197">
        <v>0.71377176380000007</v>
      </c>
      <c r="U34" s="197">
        <v>8.906337097E-2</v>
      </c>
      <c r="V34" s="88">
        <v>116</v>
      </c>
    </row>
    <row r="35" spans="2:22" ht="14" customHeight="1" x14ac:dyDescent="0.15">
      <c r="B35" s="2"/>
      <c r="C35" s="326" t="s">
        <v>237</v>
      </c>
      <c r="D35" s="327">
        <v>148666</v>
      </c>
      <c r="E35" s="328">
        <v>6.1840347807999994</v>
      </c>
      <c r="F35" s="328">
        <v>0.68668667572000008</v>
      </c>
      <c r="G35" s="328">
        <v>0.58471638060999997</v>
      </c>
      <c r="H35" s="197">
        <v>0.36934610057999995</v>
      </c>
      <c r="I35" s="197">
        <v>0.35718512939999997</v>
      </c>
      <c r="J35" s="197">
        <v>0.15092846687</v>
      </c>
      <c r="K35" s="197">
        <v>0.19627539399000002</v>
      </c>
      <c r="L35" s="197">
        <v>1.589705034E-2</v>
      </c>
      <c r="M35" s="197">
        <v>7.5252689040000001E-2</v>
      </c>
      <c r="N35" s="197">
        <v>0.48206364318000028</v>
      </c>
      <c r="O35" s="197">
        <v>4.5814637292400002</v>
      </c>
      <c r="P35" s="197">
        <v>0.30410980094999995</v>
      </c>
      <c r="Q35" s="197">
        <v>0.39877634296000003</v>
      </c>
      <c r="R35" s="197">
        <v>1.9697396549999999E-2</v>
      </c>
      <c r="S35" s="197">
        <v>0.12199589349000001</v>
      </c>
      <c r="T35" s="197">
        <v>6.2975021490100005</v>
      </c>
      <c r="U35" s="197">
        <v>0.64746543369999998</v>
      </c>
      <c r="V35" s="88">
        <v>117</v>
      </c>
    </row>
    <row r="36" spans="2:22" ht="14" customHeight="1" x14ac:dyDescent="0.15">
      <c r="B36" s="2"/>
      <c r="C36" s="326" t="s">
        <v>255</v>
      </c>
      <c r="D36" s="327">
        <v>321176</v>
      </c>
      <c r="E36" s="328">
        <v>14.22339805244</v>
      </c>
      <c r="F36" s="328">
        <v>2.0068830272799998</v>
      </c>
      <c r="G36" s="328">
        <v>1.21725315615</v>
      </c>
      <c r="H36" s="197">
        <v>0.98356652616999996</v>
      </c>
      <c r="I36" s="197">
        <v>0.87309306576000001</v>
      </c>
      <c r="J36" s="197">
        <v>0.57484805270000006</v>
      </c>
      <c r="K36" s="197">
        <v>0.66009735636</v>
      </c>
      <c r="L36" s="197">
        <v>1.57030895E-3</v>
      </c>
      <c r="M36" s="197">
        <v>0.19151654496000001</v>
      </c>
      <c r="N36" s="197">
        <v>0.88423634113000071</v>
      </c>
      <c r="O36" s="197">
        <v>10.10448767229</v>
      </c>
      <c r="P36" s="197">
        <v>0.58781003736999993</v>
      </c>
      <c r="Q36" s="197">
        <v>0.74256761099000002</v>
      </c>
      <c r="R36" s="197">
        <v>6.3586487349999998E-2</v>
      </c>
      <c r="S36" s="197">
        <v>0.21907869069000002</v>
      </c>
      <c r="T36" s="197">
        <v>18.306164837259999</v>
      </c>
      <c r="U36" s="197">
        <v>2.0203304497100003</v>
      </c>
      <c r="V36" s="88">
        <v>118</v>
      </c>
    </row>
    <row r="37" spans="2:22" ht="14" customHeight="1" x14ac:dyDescent="0.15">
      <c r="B37" s="2"/>
      <c r="C37" s="326" t="s">
        <v>204</v>
      </c>
      <c r="D37" s="327">
        <v>42321</v>
      </c>
      <c r="E37" s="328">
        <v>1.80067954</v>
      </c>
      <c r="F37" s="328">
        <v>0.20895481152000001</v>
      </c>
      <c r="G37" s="328">
        <v>0.18716670088999998</v>
      </c>
      <c r="H37" s="197">
        <v>0.10499156662999999</v>
      </c>
      <c r="I37" s="197">
        <v>9.4401211799999996E-2</v>
      </c>
      <c r="J37" s="197">
        <v>5.0261499719999998E-2</v>
      </c>
      <c r="K37" s="197">
        <v>6.0398394359999996E-2</v>
      </c>
      <c r="L37" s="197">
        <v>1.24494372E-3</v>
      </c>
      <c r="M37" s="197">
        <v>1.9137886770000001E-2</v>
      </c>
      <c r="N37" s="197">
        <v>0.14142220857000004</v>
      </c>
      <c r="O37" s="197">
        <v>1.3340523484800002</v>
      </c>
      <c r="P37" s="197">
        <v>8.4554251619999993E-2</v>
      </c>
      <c r="Q37" s="197">
        <v>0.10217062636</v>
      </c>
      <c r="R37" s="197">
        <v>7.9862897799999992E-3</v>
      </c>
      <c r="S37" s="197">
        <v>2.5620125819999999E-2</v>
      </c>
      <c r="T37" s="197">
        <v>2.3506626060100002</v>
      </c>
      <c r="U37" s="197">
        <v>0.28642822747000002</v>
      </c>
      <c r="V37" s="88">
        <v>119</v>
      </c>
    </row>
    <row r="38" spans="2:22" ht="14" customHeight="1" x14ac:dyDescent="0.15">
      <c r="B38" s="2"/>
      <c r="C38" s="326" t="s">
        <v>147</v>
      </c>
      <c r="D38" s="327">
        <v>1686</v>
      </c>
      <c r="E38" s="328">
        <v>6.0724434889999998E-2</v>
      </c>
      <c r="F38" s="328">
        <v>6.9405554200000002E-3</v>
      </c>
      <c r="G38" s="328">
        <v>6.2751061499999993E-3</v>
      </c>
      <c r="H38" s="197">
        <v>3.2833672600000004E-3</v>
      </c>
      <c r="I38" s="197">
        <v>3.0913327200000002E-3</v>
      </c>
      <c r="J38" s="197">
        <v>1.1317868799999998E-3</v>
      </c>
      <c r="K38" s="197">
        <v>1.83271379E-3</v>
      </c>
      <c r="L38" s="197">
        <v>2.9683999999999999E-5</v>
      </c>
      <c r="M38" s="197">
        <v>5.0676288999999992E-4</v>
      </c>
      <c r="N38" s="197">
        <v>5.8743101699999974E-3</v>
      </c>
      <c r="O38" s="197">
        <v>4.5357007849999999E-2</v>
      </c>
      <c r="P38" s="197">
        <v>1.8901536499999999E-3</v>
      </c>
      <c r="Q38" s="197">
        <v>2.2111824699999998E-3</v>
      </c>
      <c r="R38" s="197">
        <v>3.2230068000000002E-4</v>
      </c>
      <c r="S38" s="197">
        <v>6.4415749000000001E-4</v>
      </c>
      <c r="T38" s="197">
        <v>8.2107310329999988E-2</v>
      </c>
      <c r="U38" s="197">
        <v>8.8824220500000016E-3</v>
      </c>
      <c r="V38" s="88">
        <v>120</v>
      </c>
    </row>
    <row r="39" spans="2:22" ht="14" customHeight="1" x14ac:dyDescent="0.15">
      <c r="B39" s="2"/>
      <c r="C39" s="326" t="s">
        <v>176</v>
      </c>
      <c r="D39" s="327">
        <v>16510</v>
      </c>
      <c r="E39" s="328">
        <v>0.63810324545999997</v>
      </c>
      <c r="F39" s="328">
        <v>6.8109653739999998E-2</v>
      </c>
      <c r="G39" s="328">
        <v>6.0738887840000005E-2</v>
      </c>
      <c r="H39" s="197">
        <v>4.6350483040000001E-2</v>
      </c>
      <c r="I39" s="197">
        <v>4.0633071600000001E-2</v>
      </c>
      <c r="J39" s="197">
        <v>1.5804564609999999E-2</v>
      </c>
      <c r="K39" s="197">
        <v>2.257570284E-2</v>
      </c>
      <c r="L39" s="197">
        <v>1.7667495600000001E-3</v>
      </c>
      <c r="M39" s="197">
        <v>7.3948126099999999E-3</v>
      </c>
      <c r="N39" s="197">
        <v>4.6934301670000012E-2</v>
      </c>
      <c r="O39" s="197">
        <v>0.46393148339000001</v>
      </c>
      <c r="P39" s="197">
        <v>2.1288806719999998E-2</v>
      </c>
      <c r="Q39" s="197">
        <v>2.3214991820000003E-2</v>
      </c>
      <c r="R39" s="197">
        <v>4.6807248899999997E-3</v>
      </c>
      <c r="S39" s="197">
        <v>6.92116564E-3</v>
      </c>
      <c r="T39" s="197">
        <v>0.91899565387999993</v>
      </c>
      <c r="U39" s="197">
        <v>9.2358610760000001E-2</v>
      </c>
      <c r="V39" s="88">
        <v>121</v>
      </c>
    </row>
    <row r="40" spans="2:22" ht="14" customHeight="1" x14ac:dyDescent="0.15">
      <c r="B40" s="2"/>
      <c r="C40" s="326" t="s">
        <v>220</v>
      </c>
      <c r="D40" s="327">
        <v>90973</v>
      </c>
      <c r="E40" s="328">
        <v>3.4423229860499998</v>
      </c>
      <c r="F40" s="328">
        <v>0.32248708104000001</v>
      </c>
      <c r="G40" s="328">
        <v>0.39394740892999996</v>
      </c>
      <c r="H40" s="197">
        <v>0.174505837</v>
      </c>
      <c r="I40" s="197">
        <v>0.16351870631999998</v>
      </c>
      <c r="J40" s="197">
        <v>6.9590795069999989E-2</v>
      </c>
      <c r="K40" s="197">
        <v>0.1206687473</v>
      </c>
      <c r="L40" s="197">
        <v>2.6166549999999998E-3</v>
      </c>
      <c r="M40" s="197">
        <v>3.0404865180000001E-2</v>
      </c>
      <c r="N40" s="197">
        <v>0.32166260219000009</v>
      </c>
      <c r="O40" s="197">
        <v>2.57138502406</v>
      </c>
      <c r="P40" s="197">
        <v>0.12943847613999998</v>
      </c>
      <c r="Q40" s="197">
        <v>0.14697381292</v>
      </c>
      <c r="R40" s="197">
        <v>2.1251734549999998E-2</v>
      </c>
      <c r="S40" s="197">
        <v>3.9007714999999998E-2</v>
      </c>
      <c r="T40" s="197">
        <v>5.8833456857100002</v>
      </c>
      <c r="U40" s="197">
        <v>0.60339311836999998</v>
      </c>
      <c r="V40" s="88">
        <v>122</v>
      </c>
    </row>
    <row r="41" spans="2:22" ht="14" customHeight="1" x14ac:dyDescent="0.15">
      <c r="B41" s="2"/>
      <c r="C41" s="326" t="s">
        <v>183</v>
      </c>
      <c r="D41" s="327">
        <v>31134</v>
      </c>
      <c r="E41" s="328">
        <v>1.03897622627</v>
      </c>
      <c r="F41" s="328">
        <v>9.5709806660000007E-2</v>
      </c>
      <c r="G41" s="328">
        <v>0.13512092216999999</v>
      </c>
      <c r="H41" s="197">
        <v>4.7788066090000005E-2</v>
      </c>
      <c r="I41" s="197">
        <v>5.0561243640000003E-2</v>
      </c>
      <c r="J41" s="197">
        <v>1.335117421E-2</v>
      </c>
      <c r="K41" s="197">
        <v>2.1980191350000001E-2</v>
      </c>
      <c r="L41" s="197">
        <v>3.0977735E-3</v>
      </c>
      <c r="M41" s="197">
        <v>6.5540393700000005E-3</v>
      </c>
      <c r="N41" s="197">
        <v>0.11141278531999999</v>
      </c>
      <c r="O41" s="197">
        <v>0.78737276393</v>
      </c>
      <c r="P41" s="197">
        <v>2.744837151E-2</v>
      </c>
      <c r="Q41" s="197">
        <v>3.1534685600000001E-2</v>
      </c>
      <c r="R41" s="197">
        <v>4.4862031600000005E-3</v>
      </c>
      <c r="S41" s="197">
        <v>8.7146953499999992E-3</v>
      </c>
      <c r="T41" s="197">
        <v>3.0278870090300001</v>
      </c>
      <c r="U41" s="197">
        <v>0.22440944419999997</v>
      </c>
      <c r="V41" s="88">
        <v>123</v>
      </c>
    </row>
    <row r="42" spans="2:22" ht="14" customHeight="1" x14ac:dyDescent="0.15">
      <c r="B42" s="2"/>
      <c r="C42" s="326" t="s">
        <v>207</v>
      </c>
      <c r="D42" s="327">
        <v>56755</v>
      </c>
      <c r="E42" s="328">
        <v>1.9650637668100002</v>
      </c>
      <c r="F42" s="328">
        <v>0.25471544610000002</v>
      </c>
      <c r="G42" s="328">
        <v>0.59185458862999996</v>
      </c>
      <c r="H42" s="197">
        <v>0.12457662930999999</v>
      </c>
      <c r="I42" s="197">
        <v>0.14062468415999999</v>
      </c>
      <c r="J42" s="197">
        <v>6.2435745039999997E-2</v>
      </c>
      <c r="K42" s="197">
        <v>7.8361928319999996E-2</v>
      </c>
      <c r="L42" s="197">
        <v>5.1336077900000004E-3</v>
      </c>
      <c r="M42" s="197">
        <v>2.3494243930000002E-2</v>
      </c>
      <c r="N42" s="197">
        <v>0.14759532495000005</v>
      </c>
      <c r="O42" s="197">
        <v>1.3937945411000001</v>
      </c>
      <c r="P42" s="197">
        <v>4.9555967849999993E-2</v>
      </c>
      <c r="Q42" s="197">
        <v>7.0940630340000005E-2</v>
      </c>
      <c r="R42" s="197">
        <v>7.0457771600000007E-3</v>
      </c>
      <c r="S42" s="197">
        <v>2.863289711E-2</v>
      </c>
      <c r="T42" s="197">
        <v>3.5469825079699997</v>
      </c>
      <c r="U42" s="197">
        <v>0.35233506672000003</v>
      </c>
      <c r="V42" s="88">
        <v>124</v>
      </c>
    </row>
    <row r="43" spans="2:22" ht="14" customHeight="1" x14ac:dyDescent="0.15">
      <c r="B43" s="2"/>
      <c r="C43" s="326" t="s">
        <v>250</v>
      </c>
      <c r="D43" s="327">
        <v>177685</v>
      </c>
      <c r="E43" s="328">
        <v>10.277622288130001</v>
      </c>
      <c r="F43" s="328">
        <v>1.2795695841199999</v>
      </c>
      <c r="G43" s="328">
        <v>0.86370435140000001</v>
      </c>
      <c r="H43" s="197">
        <v>0.78849688512000005</v>
      </c>
      <c r="I43" s="197">
        <v>0.49727739444000002</v>
      </c>
      <c r="J43" s="197">
        <v>0.32780516662000003</v>
      </c>
      <c r="K43" s="197">
        <v>0.40502383214999998</v>
      </c>
      <c r="L43" s="197">
        <v>1.56078306E-3</v>
      </c>
      <c r="M43" s="197">
        <v>0.17265164489999998</v>
      </c>
      <c r="N43" s="197">
        <v>0.51404289566999939</v>
      </c>
      <c r="O43" s="197">
        <v>7.6695023478</v>
      </c>
      <c r="P43" s="197">
        <v>0.85881157121999996</v>
      </c>
      <c r="Q43" s="197">
        <v>0.91790225379000001</v>
      </c>
      <c r="R43" s="197">
        <v>5.2577652989999994E-2</v>
      </c>
      <c r="S43" s="197">
        <v>0.14532823083999999</v>
      </c>
      <c r="T43" s="197">
        <v>12.979574119430001</v>
      </c>
      <c r="U43" s="197">
        <v>1.74091633984</v>
      </c>
      <c r="V43" s="88">
        <v>125</v>
      </c>
    </row>
    <row r="44" spans="2:22" ht="14" customHeight="1" x14ac:dyDescent="0.15">
      <c r="B44" s="2"/>
      <c r="C44" s="326" t="s">
        <v>218</v>
      </c>
      <c r="D44" s="327">
        <v>61350</v>
      </c>
      <c r="E44" s="328">
        <v>2.8040334256600001</v>
      </c>
      <c r="F44" s="328">
        <v>0.38835525043999997</v>
      </c>
      <c r="G44" s="328">
        <v>0.21141339889999999</v>
      </c>
      <c r="H44" s="197">
        <v>0.23589810045999998</v>
      </c>
      <c r="I44" s="197">
        <v>0.18029816316</v>
      </c>
      <c r="J44" s="197">
        <v>0.12866453223999999</v>
      </c>
      <c r="K44" s="197">
        <v>0.14044790327000001</v>
      </c>
      <c r="L44" s="197">
        <v>1.5246017299999999E-3</v>
      </c>
      <c r="M44" s="197">
        <v>4.4426846800000003E-2</v>
      </c>
      <c r="N44" s="197">
        <v>0.14551425249000005</v>
      </c>
      <c r="O44" s="197">
        <v>1.9569393185800001</v>
      </c>
      <c r="P44" s="197">
        <v>0.12616680018000001</v>
      </c>
      <c r="Q44" s="197">
        <v>0.16388692728000001</v>
      </c>
      <c r="R44" s="197">
        <v>1.326192994E-2</v>
      </c>
      <c r="S44" s="197">
        <v>5.1002860070000003E-2</v>
      </c>
      <c r="T44" s="197">
        <v>2.8376743270399998</v>
      </c>
      <c r="U44" s="197">
        <v>0.28341449788999995</v>
      </c>
      <c r="V44" s="88">
        <v>126</v>
      </c>
    </row>
    <row r="45" spans="2:22" ht="14" customHeight="1" x14ac:dyDescent="0.15">
      <c r="B45" s="2"/>
      <c r="C45" s="326" t="s">
        <v>194</v>
      </c>
      <c r="D45" s="327">
        <v>29543</v>
      </c>
      <c r="E45" s="328">
        <v>1.4236046152699999</v>
      </c>
      <c r="F45" s="328">
        <v>0.17292587521</v>
      </c>
      <c r="G45" s="328">
        <v>0.11850312787</v>
      </c>
      <c r="H45" s="197">
        <v>0.10246404287000001</v>
      </c>
      <c r="I45" s="197">
        <v>9.0531886800000003E-2</v>
      </c>
      <c r="J45" s="197">
        <v>5.418638571E-2</v>
      </c>
      <c r="K45" s="197">
        <v>6.2532213069999995E-2</v>
      </c>
      <c r="L45" s="197">
        <v>1.0287665E-4</v>
      </c>
      <c r="M45" s="197">
        <v>2.389647952E-2</v>
      </c>
      <c r="N45" s="197">
        <v>7.8121765890000028E-2</v>
      </c>
      <c r="O45" s="197">
        <v>1.01814424265</v>
      </c>
      <c r="P45" s="197">
        <v>7.3827815179999992E-2</v>
      </c>
      <c r="Q45" s="197">
        <v>8.9065645959999995E-2</v>
      </c>
      <c r="R45" s="197">
        <v>6.9061089499999999E-3</v>
      </c>
      <c r="S45" s="197">
        <v>2.2155849179999999E-2</v>
      </c>
      <c r="T45" s="197">
        <v>1.9269259112700001</v>
      </c>
      <c r="U45" s="197">
        <v>0.19696760892999998</v>
      </c>
      <c r="V45" s="88">
        <v>127</v>
      </c>
    </row>
    <row r="46" spans="2:22" ht="14" customHeight="1" x14ac:dyDescent="0.15">
      <c r="B46" s="2"/>
      <c r="C46" s="326" t="s">
        <v>226</v>
      </c>
      <c r="D46" s="327">
        <v>111129</v>
      </c>
      <c r="E46" s="328">
        <v>4.3759316224799996</v>
      </c>
      <c r="F46" s="328">
        <v>0.54549061994000003</v>
      </c>
      <c r="G46" s="328">
        <v>0.41297826140999999</v>
      </c>
      <c r="H46" s="197">
        <v>0.26554472854</v>
      </c>
      <c r="I46" s="197">
        <v>0.25935414792</v>
      </c>
      <c r="J46" s="197">
        <v>9.8388903360000002E-2</v>
      </c>
      <c r="K46" s="197">
        <v>0.13580308330000002</v>
      </c>
      <c r="L46" s="197">
        <v>8.1383857E-4</v>
      </c>
      <c r="M46" s="197">
        <v>4.2670128129999998E-2</v>
      </c>
      <c r="N46" s="197">
        <v>0.34833566809999994</v>
      </c>
      <c r="O46" s="197">
        <v>3.2417578202800001</v>
      </c>
      <c r="P46" s="197">
        <v>0.16972073704000001</v>
      </c>
      <c r="Q46" s="197">
        <v>0.20405899787000001</v>
      </c>
      <c r="R46" s="197">
        <v>1.899287857E-2</v>
      </c>
      <c r="S46" s="197">
        <v>5.3584329649999998E-2</v>
      </c>
      <c r="T46" s="197">
        <v>6.3463323531100002</v>
      </c>
      <c r="U46" s="197">
        <v>0.75002724837000001</v>
      </c>
      <c r="V46" s="88">
        <v>128</v>
      </c>
    </row>
    <row r="47" spans="2:22" ht="14" customHeight="1" x14ac:dyDescent="0.15">
      <c r="B47" s="2"/>
      <c r="C47" s="326" t="s">
        <v>209</v>
      </c>
      <c r="D47" s="327">
        <v>26963</v>
      </c>
      <c r="E47" s="328">
        <v>1.8454645565600001</v>
      </c>
      <c r="F47" s="328">
        <v>0.25212158482000002</v>
      </c>
      <c r="G47" s="328">
        <v>0.32312006530000004</v>
      </c>
      <c r="H47" s="197">
        <v>0.18602739478000002</v>
      </c>
      <c r="I47" s="197">
        <v>9.8904074280000004E-2</v>
      </c>
      <c r="J47" s="197">
        <v>6.277198313E-2</v>
      </c>
      <c r="K47" s="197">
        <v>9.7347158890000007E-2</v>
      </c>
      <c r="L47" s="197">
        <v>4.8555521999999997E-4</v>
      </c>
      <c r="M47" s="197">
        <v>4.1021002880000004E-2</v>
      </c>
      <c r="N47" s="197">
        <v>5.065808384000009E-2</v>
      </c>
      <c r="O47" s="197">
        <v>1.3146919582100001</v>
      </c>
      <c r="P47" s="197">
        <v>0.16034832278</v>
      </c>
      <c r="Q47" s="197">
        <v>0.17815435669999999</v>
      </c>
      <c r="R47" s="197">
        <v>1.1180382959999999E-2</v>
      </c>
      <c r="S47" s="197">
        <v>2.899744345E-2</v>
      </c>
      <c r="T47" s="197">
        <v>2.9980261397499999</v>
      </c>
      <c r="U47" s="197">
        <v>0.29409929993</v>
      </c>
      <c r="V47" s="88">
        <v>129</v>
      </c>
    </row>
    <row r="48" spans="2:22" ht="14" customHeight="1" x14ac:dyDescent="0.15">
      <c r="B48" s="2"/>
      <c r="C48" s="326" t="s">
        <v>186</v>
      </c>
      <c r="D48" s="327">
        <v>36720</v>
      </c>
      <c r="E48" s="328">
        <v>1.3647295704</v>
      </c>
      <c r="F48" s="328">
        <v>0.15842919059999999</v>
      </c>
      <c r="G48" s="328">
        <v>0.10183122699</v>
      </c>
      <c r="H48" s="197">
        <v>8.2933465629999994E-2</v>
      </c>
      <c r="I48" s="197">
        <v>8.4646385519999992E-2</v>
      </c>
      <c r="J48" s="197">
        <v>2.5275386819999999E-2</v>
      </c>
      <c r="K48" s="197">
        <v>3.9452069200000002E-2</v>
      </c>
      <c r="L48" s="197">
        <v>4.8884992899999999E-3</v>
      </c>
      <c r="M48" s="197">
        <v>1.239110838E-2</v>
      </c>
      <c r="N48" s="197">
        <v>0.11261334507000004</v>
      </c>
      <c r="O48" s="197">
        <v>1.0113287098399999</v>
      </c>
      <c r="P48" s="197">
        <v>4.5739166560000002E-2</v>
      </c>
      <c r="Q48" s="197">
        <v>5.8435006950000007E-2</v>
      </c>
      <c r="R48" s="197">
        <v>4.60328899E-3</v>
      </c>
      <c r="S48" s="197">
        <v>1.7320996849999999E-2</v>
      </c>
      <c r="T48" s="197">
        <v>1.6458354130799999</v>
      </c>
      <c r="U48" s="197">
        <v>0.22892832204000002</v>
      </c>
      <c r="V48" s="88">
        <v>130</v>
      </c>
    </row>
    <row r="49" spans="2:22" ht="14" customHeight="1" x14ac:dyDescent="0.15">
      <c r="B49" s="2"/>
      <c r="C49" s="326" t="s">
        <v>253</v>
      </c>
      <c r="D49" s="327">
        <v>376739</v>
      </c>
      <c r="E49" s="328">
        <v>14.782783086649999</v>
      </c>
      <c r="F49" s="328">
        <v>1.5484510249699999</v>
      </c>
      <c r="G49" s="328">
        <v>1.3946141937999998</v>
      </c>
      <c r="H49" s="197">
        <v>0.93904996140000008</v>
      </c>
      <c r="I49" s="197">
        <v>0.87369771227999993</v>
      </c>
      <c r="J49" s="197">
        <v>0.37925300430000003</v>
      </c>
      <c r="K49" s="197">
        <v>0.53314839151000004</v>
      </c>
      <c r="L49" s="197">
        <v>3.1603638579999996E-2</v>
      </c>
      <c r="M49" s="197">
        <v>0.20170123115999999</v>
      </c>
      <c r="N49" s="197">
        <v>1.1391995261799992</v>
      </c>
      <c r="O49" s="197">
        <v>10.820420014789999</v>
      </c>
      <c r="P49" s="197">
        <v>0.59160529626000002</v>
      </c>
      <c r="Q49" s="197">
        <v>0.74799246828999999</v>
      </c>
      <c r="R49" s="197">
        <v>6.798433005E-2</v>
      </c>
      <c r="S49" s="197">
        <v>0.22530275846999998</v>
      </c>
      <c r="T49" s="197">
        <v>17.46491476508</v>
      </c>
      <c r="U49" s="197">
        <v>1.8503746570799999</v>
      </c>
      <c r="V49" s="88">
        <v>131</v>
      </c>
    </row>
    <row r="50" spans="2:22" ht="14" customHeight="1" x14ac:dyDescent="0.15">
      <c r="B50" s="2"/>
      <c r="C50" s="326" t="s">
        <v>114</v>
      </c>
      <c r="D50" s="327">
        <v>3992423</v>
      </c>
      <c r="E50" s="328">
        <v>175.39930481124998</v>
      </c>
      <c r="F50" s="328">
        <v>34.214393110679993</v>
      </c>
      <c r="G50" s="328">
        <v>112.20135196843</v>
      </c>
      <c r="H50" s="197">
        <v>5.3884330153999995</v>
      </c>
      <c r="I50" s="197">
        <v>2.09644568508</v>
      </c>
      <c r="J50" s="197">
        <v>0.93021314284000001</v>
      </c>
      <c r="K50" s="197">
        <v>9.8177658043499996</v>
      </c>
      <c r="L50" s="197">
        <v>0.23723674312999998</v>
      </c>
      <c r="M50" s="197">
        <v>2.09464121226</v>
      </c>
      <c r="N50" s="197">
        <v>16.971586203879994</v>
      </c>
      <c r="O50" s="197">
        <v>139.69497850830001</v>
      </c>
      <c r="P50" s="197">
        <v>16.245632596029999</v>
      </c>
      <c r="Q50" s="197">
        <v>15.767922728350001</v>
      </c>
      <c r="R50" s="197">
        <v>2.6829931630599999</v>
      </c>
      <c r="S50" s="197">
        <v>2.5017482125499999</v>
      </c>
      <c r="T50" s="197">
        <v>990.54970186058995</v>
      </c>
      <c r="U50" s="197">
        <v>39.679335196319997</v>
      </c>
      <c r="V50" s="88">
        <v>132</v>
      </c>
    </row>
    <row r="51" spans="2:22" ht="14" customHeight="1" x14ac:dyDescent="0.15">
      <c r="B51" s="2"/>
      <c r="C51" s="326" t="s">
        <v>113</v>
      </c>
      <c r="D51" s="327">
        <v>0</v>
      </c>
      <c r="E51" s="328">
        <v>0</v>
      </c>
      <c r="F51" s="328">
        <v>0</v>
      </c>
      <c r="G51" s="328">
        <v>0</v>
      </c>
      <c r="H51" s="197">
        <v>0</v>
      </c>
      <c r="I51" s="197">
        <v>0</v>
      </c>
      <c r="J51" s="197">
        <v>0</v>
      </c>
      <c r="K51" s="197">
        <v>0</v>
      </c>
      <c r="L51" s="197">
        <v>0</v>
      </c>
      <c r="M51" s="197">
        <v>0</v>
      </c>
      <c r="N51" s="197">
        <v>0</v>
      </c>
      <c r="O51" s="197">
        <v>0</v>
      </c>
      <c r="P51" s="197">
        <v>0</v>
      </c>
      <c r="Q51" s="197">
        <v>0</v>
      </c>
      <c r="R51" s="197">
        <v>0</v>
      </c>
      <c r="S51" s="197">
        <v>0</v>
      </c>
      <c r="T51" s="197">
        <v>0</v>
      </c>
      <c r="U51" s="197">
        <v>0</v>
      </c>
      <c r="V51" s="88">
        <v>133</v>
      </c>
    </row>
    <row r="52" spans="2:22" ht="14" customHeight="1" x14ac:dyDescent="0.15">
      <c r="B52" s="2"/>
      <c r="C52" s="326">
        <v>0</v>
      </c>
      <c r="D52" s="327">
        <v>0</v>
      </c>
      <c r="E52" s="328">
        <v>0</v>
      </c>
      <c r="F52" s="328">
        <v>0</v>
      </c>
      <c r="G52" s="328">
        <v>0</v>
      </c>
      <c r="H52" s="197">
        <v>0</v>
      </c>
      <c r="I52" s="197">
        <v>0</v>
      </c>
      <c r="J52" s="197">
        <v>0</v>
      </c>
      <c r="K52" s="197">
        <v>0</v>
      </c>
      <c r="L52" s="197">
        <v>0</v>
      </c>
      <c r="M52" s="197">
        <v>0</v>
      </c>
      <c r="N52" s="197">
        <v>0</v>
      </c>
      <c r="O52" s="197">
        <v>0</v>
      </c>
      <c r="P52" s="197">
        <v>0</v>
      </c>
      <c r="Q52" s="197">
        <v>0</v>
      </c>
      <c r="R52" s="197">
        <v>0</v>
      </c>
      <c r="S52" s="197">
        <v>0</v>
      </c>
      <c r="T52" s="197">
        <v>0</v>
      </c>
      <c r="U52" s="197">
        <v>0</v>
      </c>
      <c r="V52" s="88">
        <v>134</v>
      </c>
    </row>
    <row r="53" spans="2:22" ht="14" customHeight="1" x14ac:dyDescent="0.15">
      <c r="B53" s="2"/>
      <c r="C53" s="326">
        <v>0</v>
      </c>
      <c r="D53" s="327">
        <v>0</v>
      </c>
      <c r="E53" s="328">
        <v>0</v>
      </c>
      <c r="F53" s="328">
        <v>0</v>
      </c>
      <c r="G53" s="328">
        <v>0</v>
      </c>
      <c r="H53" s="197">
        <v>0</v>
      </c>
      <c r="I53" s="197">
        <v>0</v>
      </c>
      <c r="J53" s="197">
        <v>0</v>
      </c>
      <c r="K53" s="197">
        <v>0</v>
      </c>
      <c r="L53" s="197">
        <v>0</v>
      </c>
      <c r="M53" s="197">
        <v>0</v>
      </c>
      <c r="N53" s="197">
        <v>0</v>
      </c>
      <c r="O53" s="197">
        <v>0</v>
      </c>
      <c r="P53" s="197">
        <v>0</v>
      </c>
      <c r="Q53" s="197">
        <v>0</v>
      </c>
      <c r="R53" s="197">
        <v>0</v>
      </c>
      <c r="S53" s="197">
        <v>0</v>
      </c>
      <c r="T53" s="197">
        <v>0</v>
      </c>
      <c r="U53" s="197">
        <v>0</v>
      </c>
      <c r="V53" s="88">
        <v>135</v>
      </c>
    </row>
    <row r="54" spans="2:22" ht="14" customHeight="1" x14ac:dyDescent="0.15">
      <c r="B54" s="2"/>
      <c r="C54" s="326">
        <v>0</v>
      </c>
      <c r="D54" s="327">
        <v>0</v>
      </c>
      <c r="E54" s="328">
        <v>0</v>
      </c>
      <c r="F54" s="328">
        <v>0</v>
      </c>
      <c r="G54" s="328">
        <v>0</v>
      </c>
      <c r="H54" s="197">
        <v>0</v>
      </c>
      <c r="I54" s="197">
        <v>0</v>
      </c>
      <c r="J54" s="197">
        <v>0</v>
      </c>
      <c r="K54" s="197">
        <v>0</v>
      </c>
      <c r="L54" s="197">
        <v>0</v>
      </c>
      <c r="M54" s="197">
        <v>0</v>
      </c>
      <c r="N54" s="197">
        <v>0</v>
      </c>
      <c r="O54" s="197">
        <v>0</v>
      </c>
      <c r="P54" s="197">
        <v>0</v>
      </c>
      <c r="Q54" s="197">
        <v>0</v>
      </c>
      <c r="R54" s="197">
        <v>0</v>
      </c>
      <c r="S54" s="197">
        <v>0</v>
      </c>
      <c r="T54" s="197">
        <v>0</v>
      </c>
      <c r="U54" s="197">
        <v>0</v>
      </c>
      <c r="V54" s="88">
        <v>136</v>
      </c>
    </row>
    <row r="55" spans="2:22" ht="14" customHeight="1" x14ac:dyDescent="0.15">
      <c r="B55" s="2"/>
      <c r="C55" s="326">
        <v>0</v>
      </c>
      <c r="D55" s="327">
        <v>0</v>
      </c>
      <c r="E55" s="328">
        <v>0</v>
      </c>
      <c r="F55" s="328">
        <v>0</v>
      </c>
      <c r="G55" s="328">
        <v>0</v>
      </c>
      <c r="H55" s="197">
        <v>0</v>
      </c>
      <c r="I55" s="197">
        <v>0</v>
      </c>
      <c r="J55" s="197">
        <v>0</v>
      </c>
      <c r="K55" s="197">
        <v>0</v>
      </c>
      <c r="L55" s="197">
        <v>0</v>
      </c>
      <c r="M55" s="197">
        <v>0</v>
      </c>
      <c r="N55" s="197">
        <v>0</v>
      </c>
      <c r="O55" s="197">
        <v>0</v>
      </c>
      <c r="P55" s="197">
        <v>0</v>
      </c>
      <c r="Q55" s="197">
        <v>0</v>
      </c>
      <c r="R55" s="197">
        <v>0</v>
      </c>
      <c r="S55" s="197">
        <v>0</v>
      </c>
      <c r="T55" s="197">
        <v>0</v>
      </c>
      <c r="U55" s="197">
        <v>0</v>
      </c>
      <c r="V55" s="88">
        <v>137</v>
      </c>
    </row>
    <row r="56" spans="2:22" ht="14" customHeight="1" x14ac:dyDescent="0.15">
      <c r="B56" s="2"/>
      <c r="C56" s="326">
        <v>0</v>
      </c>
      <c r="D56" s="327">
        <v>0</v>
      </c>
      <c r="E56" s="328">
        <v>0</v>
      </c>
      <c r="F56" s="328">
        <v>0</v>
      </c>
      <c r="G56" s="328">
        <v>0</v>
      </c>
      <c r="H56" s="197">
        <v>0</v>
      </c>
      <c r="I56" s="197">
        <v>0</v>
      </c>
      <c r="J56" s="197">
        <v>0</v>
      </c>
      <c r="K56" s="197">
        <v>0</v>
      </c>
      <c r="L56" s="197">
        <v>0</v>
      </c>
      <c r="M56" s="197">
        <v>0</v>
      </c>
      <c r="N56" s="197">
        <v>0</v>
      </c>
      <c r="O56" s="197">
        <v>0</v>
      </c>
      <c r="P56" s="197">
        <v>0</v>
      </c>
      <c r="Q56" s="197">
        <v>0</v>
      </c>
      <c r="R56" s="197">
        <v>0</v>
      </c>
      <c r="S56" s="197">
        <v>0</v>
      </c>
      <c r="T56" s="197">
        <v>0</v>
      </c>
      <c r="U56" s="197">
        <v>0</v>
      </c>
      <c r="V56" s="88">
        <v>138</v>
      </c>
    </row>
    <row r="57" spans="2:22" ht="14" customHeight="1" x14ac:dyDescent="0.15">
      <c r="B57" s="2"/>
      <c r="C57" s="326">
        <v>0</v>
      </c>
      <c r="D57" s="327">
        <v>0</v>
      </c>
      <c r="E57" s="328">
        <v>0</v>
      </c>
      <c r="F57" s="328">
        <v>0</v>
      </c>
      <c r="G57" s="328">
        <v>0</v>
      </c>
      <c r="H57" s="197">
        <v>0</v>
      </c>
      <c r="I57" s="197">
        <v>0</v>
      </c>
      <c r="J57" s="197">
        <v>0</v>
      </c>
      <c r="K57" s="197">
        <v>0</v>
      </c>
      <c r="L57" s="197">
        <v>0</v>
      </c>
      <c r="M57" s="197">
        <v>0</v>
      </c>
      <c r="N57" s="197">
        <v>0</v>
      </c>
      <c r="O57" s="197">
        <v>0</v>
      </c>
      <c r="P57" s="197">
        <v>0</v>
      </c>
      <c r="Q57" s="197">
        <v>0</v>
      </c>
      <c r="R57" s="197">
        <v>0</v>
      </c>
      <c r="S57" s="197">
        <v>0</v>
      </c>
      <c r="T57" s="197">
        <v>0</v>
      </c>
      <c r="U57" s="197">
        <v>0</v>
      </c>
      <c r="V57" s="88">
        <v>139</v>
      </c>
    </row>
    <row r="58" spans="2:22" ht="14" customHeight="1" x14ac:dyDescent="0.15">
      <c r="B58" s="2"/>
      <c r="C58" s="326">
        <v>0</v>
      </c>
      <c r="D58" s="327">
        <v>0</v>
      </c>
      <c r="E58" s="328">
        <v>0</v>
      </c>
      <c r="F58" s="328">
        <v>0</v>
      </c>
      <c r="G58" s="328">
        <v>0</v>
      </c>
      <c r="H58" s="197">
        <v>0</v>
      </c>
      <c r="I58" s="197">
        <v>0</v>
      </c>
      <c r="J58" s="197">
        <v>0</v>
      </c>
      <c r="K58" s="197">
        <v>0</v>
      </c>
      <c r="L58" s="197">
        <v>0</v>
      </c>
      <c r="M58" s="197">
        <v>0</v>
      </c>
      <c r="N58" s="197">
        <v>0</v>
      </c>
      <c r="O58" s="197">
        <v>0</v>
      </c>
      <c r="P58" s="197">
        <v>0</v>
      </c>
      <c r="Q58" s="197">
        <v>0</v>
      </c>
      <c r="R58" s="197">
        <v>0</v>
      </c>
      <c r="S58" s="197">
        <v>0</v>
      </c>
      <c r="T58" s="197">
        <v>0</v>
      </c>
      <c r="U58" s="197">
        <v>0</v>
      </c>
      <c r="V58" s="88">
        <v>140</v>
      </c>
    </row>
    <row r="59" spans="2:22" ht="14" customHeight="1" x14ac:dyDescent="0.15">
      <c r="B59" s="2"/>
      <c r="C59" s="326">
        <v>0</v>
      </c>
      <c r="D59" s="327">
        <v>0</v>
      </c>
      <c r="E59" s="328">
        <v>0</v>
      </c>
      <c r="F59" s="328">
        <v>0</v>
      </c>
      <c r="G59" s="328">
        <v>0</v>
      </c>
      <c r="H59" s="197">
        <v>0</v>
      </c>
      <c r="I59" s="197">
        <v>0</v>
      </c>
      <c r="J59" s="197">
        <v>0</v>
      </c>
      <c r="K59" s="197">
        <v>0</v>
      </c>
      <c r="L59" s="197">
        <v>0</v>
      </c>
      <c r="M59" s="197">
        <v>0</v>
      </c>
      <c r="N59" s="197">
        <v>0</v>
      </c>
      <c r="O59" s="197">
        <v>0</v>
      </c>
      <c r="P59" s="197">
        <v>0</v>
      </c>
      <c r="Q59" s="197">
        <v>0</v>
      </c>
      <c r="R59" s="197">
        <v>0</v>
      </c>
      <c r="S59" s="197">
        <v>0</v>
      </c>
      <c r="T59" s="197">
        <v>0</v>
      </c>
      <c r="U59" s="197">
        <v>0</v>
      </c>
      <c r="V59" s="88">
        <v>141</v>
      </c>
    </row>
    <row r="60" spans="2:22" ht="14" customHeight="1" x14ac:dyDescent="0.15">
      <c r="B60" s="2"/>
      <c r="C60" s="326">
        <v>0</v>
      </c>
      <c r="D60" s="327">
        <v>0</v>
      </c>
      <c r="E60" s="328">
        <v>0</v>
      </c>
      <c r="F60" s="328">
        <v>0</v>
      </c>
      <c r="G60" s="328">
        <v>0</v>
      </c>
      <c r="H60" s="197">
        <v>0</v>
      </c>
      <c r="I60" s="197">
        <v>0</v>
      </c>
      <c r="J60" s="197">
        <v>0</v>
      </c>
      <c r="K60" s="197">
        <v>0</v>
      </c>
      <c r="L60" s="197">
        <v>0</v>
      </c>
      <c r="M60" s="197">
        <v>0</v>
      </c>
      <c r="N60" s="197">
        <v>0</v>
      </c>
      <c r="O60" s="197">
        <v>0</v>
      </c>
      <c r="P60" s="197">
        <v>0</v>
      </c>
      <c r="Q60" s="197">
        <v>0</v>
      </c>
      <c r="R60" s="197">
        <v>0</v>
      </c>
      <c r="S60" s="197">
        <v>0</v>
      </c>
      <c r="T60" s="197">
        <v>0</v>
      </c>
      <c r="U60" s="197">
        <v>0</v>
      </c>
      <c r="V60" s="88">
        <v>142</v>
      </c>
    </row>
    <row r="61" spans="2:22" ht="14" customHeight="1" thickBot="1" x14ac:dyDescent="0.2">
      <c r="B61" s="2"/>
      <c r="C61" s="205">
        <v>0</v>
      </c>
      <c r="D61" s="329">
        <v>0</v>
      </c>
      <c r="E61" s="330">
        <v>0</v>
      </c>
      <c r="F61" s="330">
        <v>0</v>
      </c>
      <c r="G61" s="330">
        <v>0</v>
      </c>
      <c r="H61" s="199">
        <v>0</v>
      </c>
      <c r="I61" s="199">
        <v>0</v>
      </c>
      <c r="J61" s="199">
        <v>0</v>
      </c>
      <c r="K61" s="199">
        <v>0</v>
      </c>
      <c r="L61" s="199">
        <v>0</v>
      </c>
      <c r="M61" s="199">
        <v>0</v>
      </c>
      <c r="N61" s="199">
        <v>0</v>
      </c>
      <c r="O61" s="199">
        <v>0</v>
      </c>
      <c r="P61" s="199">
        <v>0</v>
      </c>
      <c r="Q61" s="199">
        <v>0</v>
      </c>
      <c r="R61" s="199">
        <v>0</v>
      </c>
      <c r="S61" s="199">
        <v>0</v>
      </c>
      <c r="T61" s="199">
        <v>0</v>
      </c>
      <c r="U61" s="199">
        <v>0</v>
      </c>
      <c r="V61" s="88">
        <v>143</v>
      </c>
    </row>
    <row r="62" spans="2:22" ht="16" customHeight="1" thickBot="1" x14ac:dyDescent="0.2">
      <c r="B62" s="2"/>
      <c r="C62" s="322" t="s">
        <v>403</v>
      </c>
      <c r="D62" s="322">
        <v>26494416</v>
      </c>
      <c r="E62" s="323">
        <v>1293.2053016929199</v>
      </c>
      <c r="F62" s="323">
        <v>207.36144886295997</v>
      </c>
      <c r="G62" s="323">
        <v>632.17126170038</v>
      </c>
      <c r="H62" s="323">
        <v>62.362978285420006</v>
      </c>
      <c r="I62" s="323">
        <v>30.385130287440003</v>
      </c>
      <c r="J62" s="323">
        <v>18.944704693860004</v>
      </c>
      <c r="K62" s="323">
        <v>51.019698709409994</v>
      </c>
      <c r="L62" s="323">
        <v>17.090406506229996</v>
      </c>
      <c r="M62" s="323">
        <v>12.94390591106</v>
      </c>
      <c r="N62" s="323">
        <v>102.38576893313999</v>
      </c>
      <c r="O62" s="323">
        <v>1004.5119546503101</v>
      </c>
      <c r="P62" s="323">
        <v>114.23238902445001</v>
      </c>
      <c r="Q62" s="323">
        <v>114.80238511960999</v>
      </c>
      <c r="R62" s="323">
        <v>14.563077486759997</v>
      </c>
      <c r="S62" s="323">
        <v>16.503528498660007</v>
      </c>
      <c r="T62" s="323">
        <v>5825.4776990356604</v>
      </c>
      <c r="U62" s="323">
        <v>508.89844947743995</v>
      </c>
      <c r="V62" s="22"/>
    </row>
    <row r="63" spans="2:22" ht="10" customHeight="1" thickBot="1" x14ac:dyDescent="0.2">
      <c r="B63" s="28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27"/>
    </row>
    <row r="64" spans="2:22" x14ac:dyDescent="0.15">
      <c r="J64" s="41" t="s">
        <v>538</v>
      </c>
      <c r="K64" s="422" t="s">
        <v>529</v>
      </c>
      <c r="L64" s="424" t="s">
        <v>530</v>
      </c>
      <c r="M64" s="426" t="s">
        <v>531</v>
      </c>
      <c r="N64" s="430" t="s">
        <v>532</v>
      </c>
      <c r="O64" s="428" t="s">
        <v>533</v>
      </c>
      <c r="P64" s="432" t="s">
        <v>534</v>
      </c>
      <c r="Q64" s="434" t="s">
        <v>535</v>
      </c>
      <c r="R64" s="436" t="s">
        <v>536</v>
      </c>
      <c r="S64" s="438" t="s">
        <v>537</v>
      </c>
    </row>
    <row r="65" spans="3:19" x14ac:dyDescent="0.15">
      <c r="D65" s="1" t="s">
        <v>528</v>
      </c>
      <c r="E65" s="1" t="s">
        <v>526</v>
      </c>
      <c r="F65" s="452" t="s">
        <v>540</v>
      </c>
      <c r="G65" s="452" t="s">
        <v>541</v>
      </c>
      <c r="H65" s="1" t="s">
        <v>542</v>
      </c>
      <c r="J65" s="1">
        <v>2013</v>
      </c>
      <c r="K65" s="423">
        <v>7118.3936999999996</v>
      </c>
      <c r="L65" s="425">
        <v>27981.66</v>
      </c>
      <c r="M65" s="427">
        <v>43020.105000000003</v>
      </c>
      <c r="N65" s="431">
        <v>77296.456000000006</v>
      </c>
      <c r="O65" s="429">
        <v>241932.14</v>
      </c>
      <c r="P65" s="433">
        <v>358683.78</v>
      </c>
      <c r="Q65" s="435">
        <v>920850.79</v>
      </c>
      <c r="R65" s="437">
        <v>1454392.1</v>
      </c>
      <c r="S65" s="439">
        <v>4313183.2</v>
      </c>
    </row>
    <row r="66" spans="3:19" x14ac:dyDescent="0.15">
      <c r="C66" s="441" t="s">
        <v>157</v>
      </c>
      <c r="D66" s="445">
        <f>D14</f>
        <v>3861</v>
      </c>
      <c r="E66" s="427">
        <f>((E14+F14+G14-L14)/D14)*1000000000</f>
        <v>53762.062087542086</v>
      </c>
      <c r="F66" s="453">
        <f>(G14/($E14+$F14+$G14))</f>
        <v>0.1833813590112276</v>
      </c>
      <c r="G66" s="453">
        <f>(F14/($E14+$G14+$F14))</f>
        <v>6.4269828412282223E-2</v>
      </c>
      <c r="H66" s="177">
        <f>G13/P43_T14!$G$62</f>
        <v>0</v>
      </c>
    </row>
    <row r="67" spans="3:19" x14ac:dyDescent="0.15">
      <c r="C67" s="440" t="s">
        <v>151</v>
      </c>
      <c r="D67" s="444">
        <f t="shared" ref="D67:D102" si="0">D15</f>
        <v>2408</v>
      </c>
      <c r="E67" s="431">
        <f t="shared" ref="E67:E102" si="1">((E15+F15+G15-L15)/D15)*1000000000</f>
        <v>79963.239244186028</v>
      </c>
      <c r="F67" s="453">
        <f t="shared" ref="F67:F102" si="2">(G15/($E15+$F15+$G15))</f>
        <v>0.49464228322037407</v>
      </c>
      <c r="G67" s="453">
        <f t="shared" ref="G67:G102" si="3">(F15/($E15+$G15+$F15))</f>
        <v>0.1008126996641413</v>
      </c>
      <c r="H67" s="177">
        <f>G14/P43_T14!$G$62</f>
        <v>6.0428673453532657E-5</v>
      </c>
    </row>
    <row r="68" spans="3:19" x14ac:dyDescent="0.15">
      <c r="C68" s="441" t="s">
        <v>145</v>
      </c>
      <c r="D68" s="445">
        <f t="shared" si="0"/>
        <v>1398</v>
      </c>
      <c r="E68" s="427">
        <f t="shared" si="1"/>
        <v>63797.400286123026</v>
      </c>
      <c r="F68" s="453">
        <f t="shared" si="2"/>
        <v>0.42713231188014039</v>
      </c>
      <c r="G68" s="453">
        <f t="shared" si="3"/>
        <v>5.8032185660994016E-2</v>
      </c>
      <c r="H68" s="177">
        <f>G15/P43_T14!$G$62</f>
        <v>1.5533249329600295E-4</v>
      </c>
    </row>
    <row r="69" spans="3:19" x14ac:dyDescent="0.15">
      <c r="C69" s="440" t="s">
        <v>180</v>
      </c>
      <c r="D69" s="444">
        <f t="shared" si="0"/>
        <v>5893</v>
      </c>
      <c r="E69" s="431">
        <f t="shared" si="1"/>
        <v>235527.97352621754</v>
      </c>
      <c r="F69" s="453">
        <f t="shared" si="2"/>
        <v>0.29851869969006284</v>
      </c>
      <c r="G69" s="453">
        <f t="shared" si="3"/>
        <v>6.9557334589762598E-2</v>
      </c>
      <c r="H69" s="177">
        <f>G16/P43_T14!$G$62</f>
        <v>6.1052680275574761E-5</v>
      </c>
    </row>
    <row r="70" spans="3:19" x14ac:dyDescent="0.15">
      <c r="C70" s="441" t="s">
        <v>263</v>
      </c>
      <c r="D70" s="445">
        <f t="shared" si="0"/>
        <v>489473</v>
      </c>
      <c r="E70" s="427">
        <f t="shared" si="1"/>
        <v>61225.86713126157</v>
      </c>
      <c r="F70" s="453">
        <f t="shared" si="2"/>
        <v>9.5008881208082083E-2</v>
      </c>
      <c r="G70" s="453">
        <f t="shared" si="3"/>
        <v>8.4754343994491027E-2</v>
      </c>
      <c r="H70" s="177">
        <f>G17/P43_T14!$G$62</f>
        <v>6.5604397029133516E-4</v>
      </c>
    </row>
    <row r="71" spans="3:19" x14ac:dyDescent="0.15">
      <c r="C71" s="441" t="s">
        <v>273</v>
      </c>
      <c r="D71" s="445">
        <f t="shared" si="0"/>
        <v>1099049</v>
      </c>
      <c r="E71" s="427">
        <f t="shared" si="1"/>
        <v>67850.101065375609</v>
      </c>
      <c r="F71" s="453">
        <f t="shared" si="2"/>
        <v>0.12603597330499694</v>
      </c>
      <c r="G71" s="453">
        <f t="shared" si="3"/>
        <v>0.13888959015016414</v>
      </c>
      <c r="H71" s="177">
        <f>G18/P43_T14!$G$62</f>
        <v>4.5120686408264884E-3</v>
      </c>
    </row>
    <row r="72" spans="3:19" x14ac:dyDescent="0.15">
      <c r="C72" s="441" t="s">
        <v>236</v>
      </c>
      <c r="D72" s="445">
        <f t="shared" si="0"/>
        <v>154334</v>
      </c>
      <c r="E72" s="427">
        <f t="shared" si="1"/>
        <v>44803.152485842402</v>
      </c>
      <c r="F72" s="453">
        <f t="shared" si="2"/>
        <v>0.11674814216720381</v>
      </c>
      <c r="G72" s="453">
        <f t="shared" si="3"/>
        <v>8.0045624448924713E-2</v>
      </c>
      <c r="H72" s="177">
        <f>G19/P43_T14!$G$62</f>
        <v>1.4875634815802553E-2</v>
      </c>
    </row>
    <row r="73" spans="3:19" x14ac:dyDescent="0.15">
      <c r="C73" s="441" t="s">
        <v>189</v>
      </c>
      <c r="D73" s="445">
        <f t="shared" si="0"/>
        <v>27589</v>
      </c>
      <c r="E73" s="427">
        <f t="shared" si="1"/>
        <v>57458.9629036935</v>
      </c>
      <c r="F73" s="453">
        <f t="shared" si="2"/>
        <v>0.1727593796496566</v>
      </c>
      <c r="G73" s="453">
        <f t="shared" si="3"/>
        <v>6.933383379114888E-2</v>
      </c>
      <c r="H73" s="177">
        <f>G20/P43_T14!$G$62</f>
        <v>1.2857525975377812E-3</v>
      </c>
    </row>
    <row r="74" spans="3:19" x14ac:dyDescent="0.15">
      <c r="C74" s="441" t="s">
        <v>170</v>
      </c>
      <c r="D74" s="445">
        <f t="shared" si="0"/>
        <v>18538</v>
      </c>
      <c r="E74" s="427">
        <f t="shared" si="1"/>
        <v>28048.363215557234</v>
      </c>
      <c r="F74" s="453">
        <f t="shared" si="2"/>
        <v>0.18341897986001282</v>
      </c>
      <c r="G74" s="453">
        <f t="shared" si="3"/>
        <v>6.1161673171564755E-2</v>
      </c>
      <c r="H74" s="177">
        <f>G21/P43_T14!$G$62</f>
        <v>4.3402754238145574E-4</v>
      </c>
    </row>
    <row r="75" spans="3:19" x14ac:dyDescent="0.15">
      <c r="C75" s="441" t="s">
        <v>196</v>
      </c>
      <c r="D75" s="445">
        <f t="shared" si="0"/>
        <v>50830</v>
      </c>
      <c r="E75" s="427">
        <f t="shared" si="1"/>
        <v>40347.608308282506</v>
      </c>
      <c r="F75" s="453">
        <f t="shared" si="2"/>
        <v>0.15545089046987687</v>
      </c>
      <c r="G75" s="453">
        <f t="shared" si="3"/>
        <v>6.6861583773208E-2</v>
      </c>
      <c r="H75" s="177">
        <f>G22/P43_T14!$G$62</f>
        <v>1.5105763737684722E-4</v>
      </c>
    </row>
    <row r="76" spans="3:19" x14ac:dyDescent="0.15">
      <c r="C76" s="441" t="s">
        <v>205</v>
      </c>
      <c r="D76" s="445">
        <f t="shared" si="0"/>
        <v>58995</v>
      </c>
      <c r="E76" s="427">
        <f t="shared" si="1"/>
        <v>40894.675568607505</v>
      </c>
      <c r="F76" s="453">
        <f t="shared" si="2"/>
        <v>9.2087306033032848E-2</v>
      </c>
      <c r="G76" s="453">
        <f t="shared" si="3"/>
        <v>7.0766587866853178E-2</v>
      </c>
      <c r="H76" s="177">
        <f>G23/P43_T14!$G$62</f>
        <v>5.0616041083445475E-4</v>
      </c>
    </row>
    <row r="77" spans="3:19" x14ac:dyDescent="0.15">
      <c r="C77" s="441" t="s">
        <v>245</v>
      </c>
      <c r="D77" s="445">
        <f t="shared" si="0"/>
        <v>160246</v>
      </c>
      <c r="E77" s="427">
        <f t="shared" si="1"/>
        <v>50437.862451543268</v>
      </c>
      <c r="F77" s="453">
        <f t="shared" si="2"/>
        <v>6.725966184750154E-2</v>
      </c>
      <c r="G77" s="453">
        <f t="shared" si="3"/>
        <v>6.9051901537799498E-2</v>
      </c>
      <c r="H77" s="177">
        <f>G24/P43_T14!$G$62</f>
        <v>3.5230396753713444E-4</v>
      </c>
    </row>
    <row r="78" spans="3:19" x14ac:dyDescent="0.15">
      <c r="C78" s="441" t="s">
        <v>200</v>
      </c>
      <c r="D78" s="445">
        <f t="shared" si="0"/>
        <v>70285</v>
      </c>
      <c r="E78" s="427">
        <f t="shared" si="1"/>
        <v>30013.25179227431</v>
      </c>
      <c r="F78" s="453">
        <f t="shared" si="2"/>
        <v>0.18981406108534596</v>
      </c>
      <c r="G78" s="453">
        <f t="shared" si="3"/>
        <v>2.550598987157111E-2</v>
      </c>
      <c r="H78" s="177">
        <f>G25/P43_T14!$G$62</f>
        <v>8.6167167665108786E-4</v>
      </c>
    </row>
    <row r="79" spans="3:19" x14ac:dyDescent="0.15">
      <c r="C79" s="441" t="s">
        <v>230</v>
      </c>
      <c r="D79" s="445">
        <f t="shared" si="0"/>
        <v>127339</v>
      </c>
      <c r="E79" s="427">
        <f t="shared" si="1"/>
        <v>45785.095946646354</v>
      </c>
      <c r="F79" s="453">
        <f t="shared" si="2"/>
        <v>5.5346927086018856E-2</v>
      </c>
      <c r="G79" s="453">
        <f t="shared" si="3"/>
        <v>7.2669790286562036E-2</v>
      </c>
      <c r="H79" s="177">
        <f>G26/P43_T14!$G$62</f>
        <v>6.5348089920891719E-4</v>
      </c>
    </row>
    <row r="80" spans="3:19" x14ac:dyDescent="0.15">
      <c r="C80" s="441" t="s">
        <v>249</v>
      </c>
      <c r="D80" s="445">
        <f t="shared" si="0"/>
        <v>374364</v>
      </c>
      <c r="E80" s="427">
        <f t="shared" si="1"/>
        <v>39359.415990720263</v>
      </c>
      <c r="F80" s="453">
        <f t="shared" si="2"/>
        <v>0.21810047595368842</v>
      </c>
      <c r="G80" s="453">
        <f t="shared" si="3"/>
        <v>4.4721804384122342E-2</v>
      </c>
      <c r="H80" s="177">
        <f>G27/P43_T14!$G$62</f>
        <v>5.1069507752001301E-4</v>
      </c>
    </row>
    <row r="81" spans="3:8" x14ac:dyDescent="0.15">
      <c r="C81" s="441" t="s">
        <v>259</v>
      </c>
      <c r="D81" s="445">
        <f t="shared" si="0"/>
        <v>614207</v>
      </c>
      <c r="E81" s="427">
        <f t="shared" si="1"/>
        <v>41351.352858563972</v>
      </c>
      <c r="F81" s="453">
        <f t="shared" si="2"/>
        <v>0.18652867653832833</v>
      </c>
      <c r="G81" s="453">
        <f t="shared" si="3"/>
        <v>6.5520355780103998E-2</v>
      </c>
      <c r="H81" s="177">
        <f>G28/P43_T14!$G$62</f>
        <v>5.1716914308729562E-3</v>
      </c>
    </row>
    <row r="82" spans="3:8" x14ac:dyDescent="0.15">
      <c r="C82" s="441" t="s">
        <v>266</v>
      </c>
      <c r="D82" s="445">
        <f t="shared" si="0"/>
        <v>906815</v>
      </c>
      <c r="E82" s="427">
        <f t="shared" si="1"/>
        <v>39392.002563819522</v>
      </c>
      <c r="F82" s="453">
        <f t="shared" si="2"/>
        <v>0.15313332440308183</v>
      </c>
      <c r="G82" s="453">
        <f t="shared" si="3"/>
        <v>5.6621641838892123E-2</v>
      </c>
      <c r="H82" s="177">
        <f>G29/P43_T14!$G$62</f>
        <v>7.542206462747743E-3</v>
      </c>
    </row>
    <row r="83" spans="3:8" x14ac:dyDescent="0.15">
      <c r="C83" s="440" t="s">
        <v>254</v>
      </c>
      <c r="D83" s="444">
        <f t="shared" si="0"/>
        <v>358203</v>
      </c>
      <c r="E83" s="431">
        <f t="shared" si="1"/>
        <v>130152.43902172793</v>
      </c>
      <c r="F83" s="451">
        <f t="shared" si="2"/>
        <v>0.63523110540041183</v>
      </c>
      <c r="G83" s="453">
        <f t="shared" si="3"/>
        <v>7.2673253986485317E-2</v>
      </c>
      <c r="H83" s="177">
        <f>G30/P43_T14!$G$62</f>
        <v>8.7846230304155296E-3</v>
      </c>
    </row>
    <row r="84" spans="3:8" x14ac:dyDescent="0.15">
      <c r="C84" s="441" t="s">
        <v>195</v>
      </c>
      <c r="D84" s="445">
        <f t="shared" si="0"/>
        <v>63838</v>
      </c>
      <c r="E84" s="427">
        <f t="shared" si="1"/>
        <v>51324.227003195578</v>
      </c>
      <c r="F84" s="453">
        <f t="shared" si="2"/>
        <v>0.43823703683888715</v>
      </c>
      <c r="G84" s="453">
        <f t="shared" si="3"/>
        <v>4.7457797360808102E-2</v>
      </c>
      <c r="H84" s="177">
        <f>G31/P43_T14!$G$62</f>
        <v>4.6932397893566201E-2</v>
      </c>
    </row>
    <row r="85" spans="3:8" x14ac:dyDescent="0.15">
      <c r="C85" s="441" t="s">
        <v>149</v>
      </c>
      <c r="D85" s="445">
        <f t="shared" si="0"/>
        <v>3576</v>
      </c>
      <c r="E85" s="427">
        <f t="shared" si="1"/>
        <v>44060.876873601781</v>
      </c>
      <c r="F85" s="453">
        <f t="shared" si="2"/>
        <v>0.40483349575403499</v>
      </c>
      <c r="G85" s="453">
        <f t="shared" si="3"/>
        <v>3.5232119340796807E-2</v>
      </c>
      <c r="H85" s="177">
        <f>G32/P43_T14!$G$62</f>
        <v>2.2808539523477885E-3</v>
      </c>
    </row>
    <row r="86" spans="3:8" x14ac:dyDescent="0.15">
      <c r="C86" s="441" t="s">
        <v>171</v>
      </c>
      <c r="D86" s="445">
        <f t="shared" si="0"/>
        <v>20813</v>
      </c>
      <c r="E86" s="427">
        <f t="shared" si="1"/>
        <v>36153.559272570033</v>
      </c>
      <c r="F86" s="453">
        <f t="shared" si="2"/>
        <v>7.3599074968111883E-2</v>
      </c>
      <c r="G86" s="453">
        <f t="shared" si="3"/>
        <v>7.4551861242009063E-2</v>
      </c>
      <c r="H86" s="177">
        <f>G33/P43_T14!$G$62</f>
        <v>1.017022835506117E-4</v>
      </c>
    </row>
    <row r="87" spans="3:8" x14ac:dyDescent="0.15">
      <c r="C87" s="441" t="s">
        <v>237</v>
      </c>
      <c r="D87" s="445">
        <f t="shared" si="0"/>
        <v>148666</v>
      </c>
      <c r="E87" s="427">
        <f t="shared" si="1"/>
        <v>50041.978574724541</v>
      </c>
      <c r="F87" s="453">
        <f t="shared" si="2"/>
        <v>7.8428174626842428E-2</v>
      </c>
      <c r="G87" s="453">
        <f t="shared" si="3"/>
        <v>9.2105479345575614E-2</v>
      </c>
      <c r="H87" s="177">
        <f>G34/P43_T14!$G$62</f>
        <v>8.8117575149124368E-5</v>
      </c>
    </row>
    <row r="88" spans="3:8" x14ac:dyDescent="0.15">
      <c r="C88" s="441" t="s">
        <v>255</v>
      </c>
      <c r="D88" s="445">
        <f t="shared" si="0"/>
        <v>321176</v>
      </c>
      <c r="E88" s="427">
        <f t="shared" si="1"/>
        <v>54319.014891897277</v>
      </c>
      <c r="F88" s="453">
        <f t="shared" si="2"/>
        <v>6.9766486180464174E-2</v>
      </c>
      <c r="G88" s="453">
        <f t="shared" si="3"/>
        <v>0.11502387673520612</v>
      </c>
      <c r="H88" s="177">
        <f>G35/P43_T14!$G$62</f>
        <v>9.2493350462857413E-4</v>
      </c>
    </row>
    <row r="89" spans="3:8" x14ac:dyDescent="0.15">
      <c r="C89" s="441" t="s">
        <v>204</v>
      </c>
      <c r="D89" s="445">
        <f t="shared" si="0"/>
        <v>42321</v>
      </c>
      <c r="E89" s="427">
        <f t="shared" si="1"/>
        <v>51878.644377259508</v>
      </c>
      <c r="F89" s="453">
        <f t="shared" si="2"/>
        <v>8.5199659151960455E-2</v>
      </c>
      <c r="G89" s="453">
        <f t="shared" si="3"/>
        <v>9.5117767396718136E-2</v>
      </c>
      <c r="H89" s="177">
        <f>G36/P43_T14!$G$62</f>
        <v>1.9255116926319908E-3</v>
      </c>
    </row>
    <row r="90" spans="3:8" x14ac:dyDescent="0.15">
      <c r="C90" s="441" t="s">
        <v>147</v>
      </c>
      <c r="D90" s="445">
        <f t="shared" si="0"/>
        <v>1686</v>
      </c>
      <c r="E90" s="427">
        <f t="shared" si="1"/>
        <v>43837.72981020165</v>
      </c>
      <c r="F90" s="453">
        <f t="shared" si="2"/>
        <v>8.4867432562719169E-2</v>
      </c>
      <c r="G90" s="453">
        <f t="shared" si="3"/>
        <v>9.3867275704119374E-2</v>
      </c>
      <c r="H90" s="177">
        <f>G37/P43_T14!$G$62</f>
        <v>2.9606961314022586E-4</v>
      </c>
    </row>
    <row r="91" spans="3:8" x14ac:dyDescent="0.15">
      <c r="C91" s="441" t="s">
        <v>176</v>
      </c>
      <c r="D91" s="445">
        <f t="shared" si="0"/>
        <v>16510</v>
      </c>
      <c r="E91" s="427">
        <f t="shared" si="1"/>
        <v>46346.761809812233</v>
      </c>
      <c r="F91" s="453">
        <f t="shared" si="2"/>
        <v>7.9195183929902227E-2</v>
      </c>
      <c r="G91" s="453">
        <f t="shared" si="3"/>
        <v>8.880565231207653E-2</v>
      </c>
      <c r="H91" s="177">
        <f>G38/P43_T14!$G$62</f>
        <v>9.9262755683033729E-6</v>
      </c>
    </row>
    <row r="92" spans="3:8" x14ac:dyDescent="0.15">
      <c r="C92" s="441" t="s">
        <v>220</v>
      </c>
      <c r="D92" s="445">
        <f t="shared" si="0"/>
        <v>90973</v>
      </c>
      <c r="E92" s="427">
        <f t="shared" si="1"/>
        <v>45685.432172402805</v>
      </c>
      <c r="F92" s="453">
        <f t="shared" si="2"/>
        <v>9.4727189840128442E-2</v>
      </c>
      <c r="G92" s="453">
        <f t="shared" si="3"/>
        <v>7.7544094095293462E-2</v>
      </c>
      <c r="H92" s="177">
        <f>G39/P43_T14!$G$62</f>
        <v>9.6079799130108887E-5</v>
      </c>
    </row>
    <row r="93" spans="3:8" x14ac:dyDescent="0.15">
      <c r="C93" s="441" t="s">
        <v>183</v>
      </c>
      <c r="D93" s="445">
        <f t="shared" si="0"/>
        <v>31134</v>
      </c>
      <c r="E93" s="427">
        <f t="shared" si="1"/>
        <v>40685.719200873638</v>
      </c>
      <c r="F93" s="453">
        <f t="shared" si="2"/>
        <v>0.10641060172753498</v>
      </c>
      <c r="G93" s="453">
        <f t="shared" si="3"/>
        <v>7.5373509552452131E-2</v>
      </c>
      <c r="H93" s="177">
        <f>G40/P43_T14!$G$62</f>
        <v>6.2316564006782206E-4</v>
      </c>
    </row>
    <row r="94" spans="3:8" x14ac:dyDescent="0.15">
      <c r="C94" s="441" t="s">
        <v>207</v>
      </c>
      <c r="D94" s="445">
        <f t="shared" si="0"/>
        <v>56755</v>
      </c>
      <c r="E94" s="427">
        <f t="shared" si="1"/>
        <v>49449.391132939832</v>
      </c>
      <c r="F94" s="453">
        <f t="shared" si="2"/>
        <v>0.21050201783241715</v>
      </c>
      <c r="G94" s="453">
        <f t="shared" si="3"/>
        <v>9.0593393051572421E-2</v>
      </c>
      <c r="H94" s="177">
        <f>G41/P43_T14!$G$62</f>
        <v>2.137410071545471E-4</v>
      </c>
    </row>
    <row r="95" spans="3:8" x14ac:dyDescent="0.15">
      <c r="C95" s="441" t="s">
        <v>250</v>
      </c>
      <c r="D95" s="445">
        <f t="shared" si="0"/>
        <v>177685</v>
      </c>
      <c r="E95" s="427">
        <f t="shared" si="1"/>
        <v>69895.238430874859</v>
      </c>
      <c r="F95" s="453">
        <f t="shared" si="2"/>
        <v>6.9536395429781003E-2</v>
      </c>
      <c r="G95" s="453">
        <f t="shared" si="3"/>
        <v>0.10301749254483232</v>
      </c>
      <c r="H95" s="177">
        <f>G42/P43_T14!$G$62</f>
        <v>9.3622507773931634E-4</v>
      </c>
    </row>
    <row r="96" spans="3:8" x14ac:dyDescent="0.15">
      <c r="C96" s="441" t="s">
        <v>218</v>
      </c>
      <c r="D96" s="445">
        <f t="shared" si="0"/>
        <v>61350</v>
      </c>
      <c r="E96" s="427">
        <f t="shared" si="1"/>
        <v>55456.845530073355</v>
      </c>
      <c r="F96" s="453">
        <f t="shared" si="2"/>
        <v>6.2110955408592607E-2</v>
      </c>
      <c r="G96" s="453">
        <f t="shared" si="3"/>
        <v>0.11409454541800876</v>
      </c>
      <c r="H96" s="177">
        <f>G43/P43_T14!$G$62</f>
        <v>1.366250577536307E-3</v>
      </c>
    </row>
    <row r="97" spans="3:8" x14ac:dyDescent="0.15">
      <c r="C97" s="441" t="s">
        <v>194</v>
      </c>
      <c r="D97" s="445">
        <f t="shared" si="0"/>
        <v>29543</v>
      </c>
      <c r="E97" s="427">
        <f t="shared" si="1"/>
        <v>58048.632220830652</v>
      </c>
      <c r="F97" s="453">
        <f t="shared" si="2"/>
        <v>6.9096679273266681E-2</v>
      </c>
      <c r="G97" s="453">
        <f t="shared" si="3"/>
        <v>0.1008294376038929</v>
      </c>
      <c r="H97" s="177">
        <f>G44/P43_T14!$G$62</f>
        <v>3.3442424815603239E-4</v>
      </c>
    </row>
    <row r="98" spans="3:8" x14ac:dyDescent="0.15">
      <c r="C98" s="441" t="s">
        <v>226</v>
      </c>
      <c r="D98" s="445">
        <f t="shared" si="0"/>
        <v>111129</v>
      </c>
      <c r="E98" s="427">
        <f t="shared" si="1"/>
        <v>47994.552864328834</v>
      </c>
      <c r="F98" s="453">
        <f t="shared" si="2"/>
        <v>7.7417933114225179E-2</v>
      </c>
      <c r="G98" s="453">
        <f t="shared" si="3"/>
        <v>0.1022590297725767</v>
      </c>
      <c r="H98" s="177">
        <f>G45/P43_T14!$G$62</f>
        <v>1.8745415214107758E-4</v>
      </c>
    </row>
    <row r="99" spans="3:8" x14ac:dyDescent="0.15">
      <c r="C99" s="440" t="s">
        <v>209</v>
      </c>
      <c r="D99" s="444">
        <f t="shared" si="0"/>
        <v>26963</v>
      </c>
      <c r="E99" s="431">
        <f t="shared" si="1"/>
        <v>89760.807456885348</v>
      </c>
      <c r="F99" s="453">
        <f t="shared" si="2"/>
        <v>0.13348173537471919</v>
      </c>
      <c r="G99" s="453">
        <f t="shared" si="3"/>
        <v>0.10415207930820523</v>
      </c>
      <c r="H99" s="177">
        <f>G46/P43_T14!$G$62</f>
        <v>6.5326959074221984E-4</v>
      </c>
    </row>
    <row r="100" spans="3:8" x14ac:dyDescent="0.15">
      <c r="C100" s="441" t="s">
        <v>186</v>
      </c>
      <c r="D100" s="445">
        <f t="shared" si="0"/>
        <v>36720</v>
      </c>
      <c r="E100" s="427">
        <f t="shared" si="1"/>
        <v>44120.410912309366</v>
      </c>
      <c r="F100" s="453">
        <f t="shared" si="2"/>
        <v>6.2665756553957716E-2</v>
      </c>
      <c r="G100" s="453">
        <f t="shared" si="3"/>
        <v>9.7495487215872589E-2</v>
      </c>
      <c r="H100" s="177">
        <f>G47/P43_T14!$G$62</f>
        <v>5.1112741890684682E-4</v>
      </c>
    </row>
    <row r="101" spans="3:8" x14ac:dyDescent="0.15">
      <c r="C101" s="441" t="s">
        <v>253</v>
      </c>
      <c r="D101" s="445">
        <f t="shared" si="0"/>
        <v>376739</v>
      </c>
      <c r="E101" s="427">
        <f t="shared" si="1"/>
        <v>46966.851498889147</v>
      </c>
      <c r="F101" s="453">
        <f t="shared" si="2"/>
        <v>7.8676866109339966E-2</v>
      </c>
      <c r="G101" s="453">
        <f t="shared" si="3"/>
        <v>8.7355538549685835E-2</v>
      </c>
      <c r="H101" s="177">
        <f>G48/P43_T14!$G$62</f>
        <v>1.6108170864347722E-4</v>
      </c>
    </row>
    <row r="102" spans="3:8" x14ac:dyDescent="0.15">
      <c r="C102" s="440" t="s">
        <v>114</v>
      </c>
      <c r="D102" s="444">
        <f t="shared" si="0"/>
        <v>3992423</v>
      </c>
      <c r="E102" s="431">
        <f t="shared" si="1"/>
        <v>80547.029497433017</v>
      </c>
      <c r="F102" s="453">
        <f t="shared" si="2"/>
        <v>0.34865166189914415</v>
      </c>
      <c r="G102" s="453">
        <f t="shared" si="3"/>
        <v>0.10631694547019035</v>
      </c>
      <c r="H102" s="177">
        <f>G49/P43_T14!$G$62</f>
        <v>2.2060702190872172E-3</v>
      </c>
    </row>
  </sheetData>
  <mergeCells count="13">
    <mergeCell ref="P12:P13"/>
    <mergeCell ref="T12:T13"/>
    <mergeCell ref="U12:U13"/>
    <mergeCell ref="O12:O13"/>
    <mergeCell ref="C12:C13"/>
    <mergeCell ref="D12:D13"/>
    <mergeCell ref="E12:E13"/>
    <mergeCell ref="F12:F13"/>
    <mergeCell ref="G12:G13"/>
    <mergeCell ref="H12:N12"/>
    <mergeCell ref="Q12:Q13"/>
    <mergeCell ref="R12:R13"/>
    <mergeCell ref="S12:S13"/>
  </mergeCells>
  <phoneticPr fontId="14" type="noConversion"/>
  <conditionalFormatting sqref="C52:U61">
    <cfRule type="cellIs" dxfId="19" priority="1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59" firstPageNumber="0" orientation="landscape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11"/>
  <dimension ref="B3:I37"/>
  <sheetViews>
    <sheetView showGridLines="0" workbookViewId="0">
      <selection activeCell="G14" sqref="G14"/>
    </sheetView>
  </sheetViews>
  <sheetFormatPr baseColWidth="10" defaultColWidth="8.83203125" defaultRowHeight="13" x14ac:dyDescent="0.15"/>
  <cols>
    <col min="1" max="1" width="3.33203125" style="1" customWidth="1"/>
    <col min="2" max="2" width="10.6640625" style="1" customWidth="1"/>
    <col min="3" max="3" width="67" style="1" customWidth="1"/>
    <col min="4" max="4" width="14.6640625" style="1" customWidth="1"/>
    <col min="5" max="5" width="8.83203125" style="1" customWidth="1"/>
    <col min="6" max="6" width="7.33203125" style="1" customWidth="1"/>
    <col min="7" max="16384" width="8.83203125" style="1"/>
  </cols>
  <sheetData>
    <row r="3" spans="2:9" ht="14" thickBot="1" x14ac:dyDescent="0.2"/>
    <row r="4" spans="2:9" ht="13" customHeight="1" x14ac:dyDescent="0.15">
      <c r="B4" s="69"/>
      <c r="C4" s="70"/>
      <c r="D4" s="70"/>
      <c r="E4" s="70"/>
      <c r="F4" s="82"/>
    </row>
    <row r="5" spans="2:9" ht="13" customHeight="1" x14ac:dyDescent="0.15">
      <c r="B5" s="72"/>
      <c r="C5" s="73"/>
      <c r="D5" s="103"/>
      <c r="E5" s="74" t="s">
        <v>449</v>
      </c>
      <c r="F5" s="75"/>
    </row>
    <row r="6" spans="2:9" ht="13" customHeight="1" x14ac:dyDescent="0.15">
      <c r="B6" s="140"/>
      <c r="C6" s="73"/>
      <c r="D6" s="103"/>
      <c r="E6" s="129"/>
      <c r="F6" s="75"/>
    </row>
    <row r="7" spans="2:9" ht="13" customHeight="1" x14ac:dyDescent="0.15">
      <c r="B7" s="72"/>
      <c r="C7" s="77" t="s">
        <v>450</v>
      </c>
      <c r="D7" s="105"/>
      <c r="E7" s="105"/>
      <c r="F7" s="75"/>
    </row>
    <row r="8" spans="2:9" ht="13" customHeight="1" x14ac:dyDescent="0.15">
      <c r="B8" s="72"/>
      <c r="C8" s="77"/>
      <c r="D8" s="92"/>
      <c r="E8" s="105"/>
      <c r="F8" s="75"/>
    </row>
    <row r="9" spans="2:9" ht="15" customHeight="1" x14ac:dyDescent="0.15">
      <c r="B9" s="2"/>
      <c r="F9" s="22"/>
    </row>
    <row r="10" spans="2:9" ht="15" customHeight="1" x14ac:dyDescent="0.15">
      <c r="B10" s="2"/>
      <c r="C10" s="130" t="s">
        <v>408</v>
      </c>
      <c r="D10" s="131"/>
      <c r="F10" s="22"/>
      <c r="I10" s="178"/>
    </row>
    <row r="11" spans="2:9" ht="15" customHeight="1" thickBot="1" x14ac:dyDescent="0.2">
      <c r="B11" s="2"/>
      <c r="C11" s="131"/>
      <c r="D11" s="132" t="s">
        <v>28</v>
      </c>
      <c r="F11" s="22"/>
      <c r="I11" s="178"/>
    </row>
    <row r="12" spans="2:9" ht="20" x14ac:dyDescent="0.15">
      <c r="B12" s="2"/>
      <c r="C12" s="133" t="s">
        <v>35</v>
      </c>
      <c r="D12" s="332">
        <v>1293.20532698292</v>
      </c>
      <c r="E12" s="101">
        <v>0</v>
      </c>
      <c r="F12" s="88">
        <v>0</v>
      </c>
    </row>
    <row r="13" spans="2:9" ht="20" x14ac:dyDescent="0.15">
      <c r="B13" s="2"/>
      <c r="C13" s="134" t="s">
        <v>36</v>
      </c>
      <c r="D13" s="333">
        <v>632.17126170038</v>
      </c>
      <c r="E13" s="101">
        <v>1</v>
      </c>
      <c r="F13" s="88">
        <v>1</v>
      </c>
    </row>
    <row r="14" spans="2:9" ht="21" thickBot="1" x14ac:dyDescent="0.2">
      <c r="B14" s="2"/>
      <c r="C14" s="135" t="s">
        <v>37</v>
      </c>
      <c r="D14" s="334">
        <v>207.36163589396</v>
      </c>
      <c r="E14" s="101">
        <v>2</v>
      </c>
      <c r="F14" s="88">
        <v>2</v>
      </c>
      <c r="G14" s="178">
        <f>D14/(D13+D14)</f>
        <v>0.24699643871985177</v>
      </c>
    </row>
    <row r="15" spans="2:9" ht="21" thickBot="1" x14ac:dyDescent="0.2">
      <c r="B15" s="2"/>
      <c r="C15" s="136" t="s">
        <v>38</v>
      </c>
      <c r="D15" s="137">
        <v>2132.7382245772601</v>
      </c>
      <c r="E15" s="39"/>
      <c r="F15" s="88">
        <v>3</v>
      </c>
    </row>
    <row r="16" spans="2:9" x14ac:dyDescent="0.15">
      <c r="B16" s="2"/>
      <c r="F16" s="88">
        <v>4</v>
      </c>
    </row>
    <row r="17" spans="2:6" x14ac:dyDescent="0.15">
      <c r="B17" s="2"/>
      <c r="F17" s="88">
        <v>5</v>
      </c>
    </row>
    <row r="18" spans="2:6" x14ac:dyDescent="0.15">
      <c r="B18" s="2"/>
      <c r="C18" s="12"/>
      <c r="F18" s="88">
        <v>6</v>
      </c>
    </row>
    <row r="19" spans="2:6" x14ac:dyDescent="0.15">
      <c r="B19" s="2"/>
      <c r="D19" s="8"/>
      <c r="E19" s="8"/>
      <c r="F19" s="88">
        <v>7</v>
      </c>
    </row>
    <row r="20" spans="2:6" x14ac:dyDescent="0.15">
      <c r="B20" s="2"/>
      <c r="C20" s="21"/>
      <c r="D20" s="128"/>
      <c r="E20" s="102">
        <v>1</v>
      </c>
      <c r="F20" s="88">
        <v>9</v>
      </c>
    </row>
    <row r="21" spans="2:6" x14ac:dyDescent="0.15">
      <c r="B21" s="2"/>
      <c r="C21" s="21"/>
      <c r="D21" s="128"/>
      <c r="E21" s="102">
        <v>2</v>
      </c>
      <c r="F21" s="88">
        <v>10</v>
      </c>
    </row>
    <row r="22" spans="2:6" x14ac:dyDescent="0.15">
      <c r="B22" s="2"/>
      <c r="C22" s="21"/>
      <c r="D22" s="128"/>
      <c r="E22" s="102">
        <v>3</v>
      </c>
      <c r="F22" s="88">
        <v>11</v>
      </c>
    </row>
    <row r="23" spans="2:6" x14ac:dyDescent="0.15">
      <c r="B23" s="2"/>
      <c r="C23" s="21"/>
      <c r="D23" s="128"/>
      <c r="E23" s="102">
        <v>4</v>
      </c>
      <c r="F23" s="88">
        <v>12</v>
      </c>
    </row>
    <row r="24" spans="2:6" x14ac:dyDescent="0.15">
      <c r="B24" s="2"/>
      <c r="C24" s="21"/>
      <c r="D24" s="128"/>
      <c r="E24" s="102">
        <v>5</v>
      </c>
      <c r="F24" s="22"/>
    </row>
    <row r="25" spans="2:6" x14ac:dyDescent="0.15">
      <c r="B25" s="2"/>
      <c r="C25" s="21"/>
      <c r="D25" s="128"/>
      <c r="E25" s="102">
        <v>6</v>
      </c>
      <c r="F25" s="22"/>
    </row>
    <row r="26" spans="2:6" x14ac:dyDescent="0.15">
      <c r="B26" s="2"/>
      <c r="C26" s="21"/>
      <c r="D26" s="128"/>
      <c r="E26" s="102">
        <v>7</v>
      </c>
      <c r="F26" s="22"/>
    </row>
    <row r="27" spans="2:6" x14ac:dyDescent="0.15">
      <c r="B27" s="138"/>
      <c r="C27" s="21"/>
      <c r="D27" s="21"/>
      <c r="E27" s="21"/>
      <c r="F27" s="22"/>
    </row>
    <row r="28" spans="2:6" x14ac:dyDescent="0.15">
      <c r="B28" s="138"/>
      <c r="C28" s="21"/>
      <c r="D28" s="21"/>
      <c r="E28" s="21"/>
      <c r="F28" s="22"/>
    </row>
    <row r="29" spans="2:6" x14ac:dyDescent="0.15">
      <c r="B29" s="138"/>
      <c r="C29" s="21"/>
      <c r="D29" s="21"/>
      <c r="E29" s="21"/>
      <c r="F29" s="22"/>
    </row>
    <row r="30" spans="2:6" x14ac:dyDescent="0.15">
      <c r="B30" s="138"/>
      <c r="C30" s="21"/>
      <c r="D30" s="21"/>
      <c r="E30" s="21"/>
      <c r="F30" s="22"/>
    </row>
    <row r="31" spans="2:6" x14ac:dyDescent="0.15">
      <c r="B31" s="138"/>
      <c r="C31" s="21"/>
      <c r="D31" s="21"/>
      <c r="E31" s="21"/>
      <c r="F31" s="22"/>
    </row>
    <row r="32" spans="2:6" ht="14" thickBot="1" x14ac:dyDescent="0.2">
      <c r="B32" s="139"/>
      <c r="C32" s="13"/>
      <c r="D32" s="13"/>
      <c r="E32" s="13"/>
      <c r="F32" s="27"/>
    </row>
    <row r="37" spans="3:3" x14ac:dyDescent="0.15">
      <c r="C37" s="9"/>
    </row>
  </sheetData>
  <sheetProtection selectLockedCells="1" selectUnlockedCells="1"/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120" firstPageNumber="0" orientation="landscape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12"/>
  <dimension ref="B3:H38"/>
  <sheetViews>
    <sheetView showGridLines="0" topLeftCell="A6" workbookViewId="0">
      <selection sqref="A1:XFD1048576"/>
    </sheetView>
  </sheetViews>
  <sheetFormatPr baseColWidth="10" defaultColWidth="8.83203125" defaultRowHeight="13" x14ac:dyDescent="0.15"/>
  <cols>
    <col min="1" max="1" width="3.33203125" style="1" customWidth="1"/>
    <col min="2" max="2" width="4.1640625" style="1" customWidth="1"/>
    <col min="3" max="3" width="43.1640625" style="1" customWidth="1"/>
    <col min="4" max="4" width="14.6640625" style="1" customWidth="1"/>
    <col min="5" max="5" width="8.83203125" style="1" customWidth="1"/>
    <col min="6" max="6" width="19.6640625" style="1" customWidth="1"/>
    <col min="7" max="7" width="13.1640625" style="1" customWidth="1"/>
    <col min="8" max="8" width="5.33203125" style="1" customWidth="1"/>
    <col min="9" max="16384" width="8.83203125" style="1"/>
  </cols>
  <sheetData>
    <row r="3" spans="2:8" ht="14" thickBot="1" x14ac:dyDescent="0.2"/>
    <row r="4" spans="2:8" ht="13" customHeight="1" x14ac:dyDescent="0.15">
      <c r="B4" s="69"/>
      <c r="C4" s="70"/>
      <c r="D4" s="70"/>
      <c r="E4" s="70"/>
      <c r="F4" s="70"/>
      <c r="G4" s="70"/>
      <c r="H4" s="82"/>
    </row>
    <row r="5" spans="2:8" ht="13" customHeight="1" x14ac:dyDescent="0.15">
      <c r="B5" s="72"/>
      <c r="C5" s="73"/>
      <c r="D5" s="103"/>
      <c r="E5" s="103"/>
      <c r="F5" s="73"/>
      <c r="G5" s="103" t="s">
        <v>447</v>
      </c>
      <c r="H5" s="75"/>
    </row>
    <row r="6" spans="2:8" ht="13" customHeight="1" x14ac:dyDescent="0.15">
      <c r="B6" s="72"/>
      <c r="C6" s="73"/>
      <c r="D6" s="104"/>
      <c r="E6" s="104"/>
      <c r="F6" s="73"/>
      <c r="G6" s="73"/>
      <c r="H6" s="75"/>
    </row>
    <row r="7" spans="2:8" ht="13" customHeight="1" x14ac:dyDescent="0.15">
      <c r="B7" s="72"/>
      <c r="C7" s="77" t="s">
        <v>448</v>
      </c>
      <c r="D7" s="92"/>
      <c r="E7" s="105"/>
      <c r="F7" s="92"/>
      <c r="G7" s="92"/>
      <c r="H7" s="75"/>
    </row>
    <row r="8" spans="2:8" ht="13" customHeight="1" x14ac:dyDescent="0.15">
      <c r="B8" s="140"/>
      <c r="C8" s="77"/>
      <c r="D8" s="92"/>
      <c r="E8" s="105"/>
      <c r="F8" s="92"/>
      <c r="G8" s="92"/>
      <c r="H8" s="75"/>
    </row>
    <row r="9" spans="2:8" ht="15" customHeight="1" x14ac:dyDescent="0.15">
      <c r="B9" s="2"/>
      <c r="H9" s="22"/>
    </row>
    <row r="10" spans="2:8" ht="15" customHeight="1" x14ac:dyDescent="0.15">
      <c r="B10" s="2"/>
      <c r="H10" s="22"/>
    </row>
    <row r="11" spans="2:8" ht="15" customHeight="1" x14ac:dyDescent="0.15">
      <c r="B11" s="2"/>
      <c r="C11" s="141" t="s">
        <v>409</v>
      </c>
      <c r="D11" s="142"/>
      <c r="F11" s="12"/>
      <c r="H11" s="22"/>
    </row>
    <row r="12" spans="2:8" ht="15" customHeight="1" thickBot="1" x14ac:dyDescent="0.2">
      <c r="B12" s="2"/>
      <c r="C12" s="142"/>
      <c r="D12" s="143" t="s">
        <v>28</v>
      </c>
      <c r="G12" s="8"/>
      <c r="H12" s="22"/>
    </row>
    <row r="13" spans="2:8" ht="23" customHeight="1" x14ac:dyDescent="0.15">
      <c r="B13" s="2"/>
      <c r="C13" s="335" t="s">
        <v>346</v>
      </c>
      <c r="D13" s="338">
        <v>50.864005210329999</v>
      </c>
      <c r="E13" s="101"/>
      <c r="G13" s="68"/>
      <c r="H13" s="88">
        <v>0</v>
      </c>
    </row>
    <row r="14" spans="2:8" ht="23" customHeight="1" x14ac:dyDescent="0.15">
      <c r="B14" s="2"/>
      <c r="C14" s="336" t="s">
        <v>354</v>
      </c>
      <c r="D14" s="339">
        <v>5.9195718380000005E-2</v>
      </c>
      <c r="E14" s="101"/>
      <c r="G14" s="7"/>
      <c r="H14" s="88">
        <v>2</v>
      </c>
    </row>
    <row r="15" spans="2:8" ht="23" customHeight="1" x14ac:dyDescent="0.15">
      <c r="B15" s="2"/>
      <c r="C15" s="336" t="s">
        <v>347</v>
      </c>
      <c r="D15" s="339">
        <v>11.43977735671</v>
      </c>
      <c r="E15" s="101"/>
      <c r="G15" s="68"/>
      <c r="H15" s="88">
        <v>3</v>
      </c>
    </row>
    <row r="16" spans="2:8" ht="23" customHeight="1" x14ac:dyDescent="0.15">
      <c r="B16" s="2"/>
      <c r="C16" s="336" t="s">
        <v>2</v>
      </c>
      <c r="D16" s="339">
        <v>30.385130287439999</v>
      </c>
      <c r="E16" s="39"/>
      <c r="G16" s="68"/>
      <c r="H16" s="88">
        <v>4</v>
      </c>
    </row>
    <row r="17" spans="2:8" ht="23" customHeight="1" x14ac:dyDescent="0.15">
      <c r="B17" s="2"/>
      <c r="C17" s="336" t="s">
        <v>348</v>
      </c>
      <c r="D17" s="339">
        <v>18.94470469386</v>
      </c>
      <c r="G17" s="68"/>
      <c r="H17" s="88">
        <v>5</v>
      </c>
    </row>
    <row r="18" spans="2:8" ht="23" customHeight="1" x14ac:dyDescent="0.15">
      <c r="B18" s="2"/>
      <c r="C18" s="336" t="s">
        <v>349</v>
      </c>
      <c r="D18" s="339">
        <v>51.019698709410001</v>
      </c>
      <c r="G18" s="68"/>
      <c r="H18" s="88">
        <v>6</v>
      </c>
    </row>
    <row r="19" spans="2:8" ht="23" customHeight="1" x14ac:dyDescent="0.15">
      <c r="B19" s="2"/>
      <c r="C19" s="336" t="s">
        <v>5</v>
      </c>
      <c r="D19" s="339">
        <v>17.09040650623</v>
      </c>
      <c r="G19" s="68"/>
      <c r="H19" s="88">
        <v>7</v>
      </c>
    </row>
    <row r="20" spans="2:8" ht="23" customHeight="1" x14ac:dyDescent="0.15">
      <c r="B20" s="2"/>
      <c r="C20" s="336" t="s">
        <v>350</v>
      </c>
      <c r="D20" s="339">
        <v>1.41564106202</v>
      </c>
      <c r="E20" s="8"/>
      <c r="G20" s="68"/>
      <c r="H20" s="88">
        <v>8</v>
      </c>
    </row>
    <row r="21" spans="2:8" ht="23" customHeight="1" x14ac:dyDescent="0.15">
      <c r="B21" s="2"/>
      <c r="C21" s="336" t="s">
        <v>351</v>
      </c>
      <c r="D21" s="339">
        <v>11.509051019680001</v>
      </c>
      <c r="E21" s="102">
        <v>0</v>
      </c>
      <c r="G21" s="68"/>
      <c r="H21" s="88">
        <v>10</v>
      </c>
    </row>
    <row r="22" spans="2:8" ht="23" customHeight="1" thickBot="1" x14ac:dyDescent="0.2">
      <c r="B22" s="347"/>
      <c r="C22" s="337" t="s">
        <v>352</v>
      </c>
      <c r="D22" s="340">
        <v>1.921382936E-2</v>
      </c>
      <c r="E22" s="102"/>
      <c r="G22" s="68"/>
      <c r="H22" s="88"/>
    </row>
    <row r="23" spans="2:8" ht="19" thickBot="1" x14ac:dyDescent="0.2">
      <c r="B23" s="2"/>
      <c r="C23" s="369" t="s">
        <v>353</v>
      </c>
      <c r="D23" s="370">
        <v>295.13259838456003</v>
      </c>
      <c r="E23" s="102">
        <v>1</v>
      </c>
      <c r="G23" s="68"/>
      <c r="H23" s="88">
        <v>11</v>
      </c>
    </row>
    <row r="24" spans="2:8" x14ac:dyDescent="0.15">
      <c r="B24" s="144"/>
      <c r="E24" s="102"/>
      <c r="G24" s="68"/>
      <c r="H24" s="88"/>
    </row>
    <row r="25" spans="2:8" ht="14" thickBot="1" x14ac:dyDescent="0.2">
      <c r="B25" s="28"/>
      <c r="C25" s="13"/>
      <c r="D25" s="13"/>
      <c r="E25" s="13"/>
      <c r="F25" s="13"/>
      <c r="G25" s="13"/>
      <c r="H25" s="27"/>
    </row>
    <row r="38" spans="3:3" x14ac:dyDescent="0.15">
      <c r="C38" s="9" t="s">
        <v>25</v>
      </c>
    </row>
  </sheetData>
  <sheetProtection selectLockedCells="1" selectUnlockedCells="1"/>
  <printOptions horizontalCentered="1"/>
  <pageMargins left="0.39370078740157483" right="0.39370078740157483" top="0.59055118110236227" bottom="0.59055118110236227" header="0.51181102362204722" footer="0.31496062992125984"/>
  <pageSetup paperSize="9" scale="125" firstPageNumber="0" orientation="landscape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13"/>
  <dimension ref="B3:J37"/>
  <sheetViews>
    <sheetView showGridLines="0" topLeftCell="A6" zoomScale="98" zoomScaleNormal="98" zoomScalePageLayoutView="98" workbookViewId="0">
      <selection sqref="A1:XFD1048576"/>
    </sheetView>
  </sheetViews>
  <sheetFormatPr baseColWidth="10" defaultColWidth="8.83203125" defaultRowHeight="13" x14ac:dyDescent="0.15"/>
  <cols>
    <col min="1" max="1" width="3.33203125" style="1" customWidth="1"/>
    <col min="2" max="2" width="3.5" style="1" customWidth="1"/>
    <col min="3" max="3" width="37.5" style="1" customWidth="1"/>
    <col min="4" max="4" width="16" style="1" customWidth="1"/>
    <col min="5" max="5" width="8.83203125" style="1" customWidth="1"/>
    <col min="6" max="6" width="36.33203125" style="1" customWidth="1"/>
    <col min="7" max="7" width="12.5" style="1" customWidth="1"/>
    <col min="8" max="8" width="3.6640625" style="1" customWidth="1"/>
    <col min="9" max="16384" width="8.83203125" style="1"/>
  </cols>
  <sheetData>
    <row r="3" spans="2:10" ht="14" thickBot="1" x14ac:dyDescent="0.2"/>
    <row r="4" spans="2:10" ht="13" customHeight="1" x14ac:dyDescent="0.15">
      <c r="B4" s="69"/>
      <c r="C4" s="70"/>
      <c r="D4" s="70"/>
      <c r="E4" s="70"/>
      <c r="F4" s="70"/>
      <c r="G4" s="70"/>
      <c r="H4" s="82"/>
    </row>
    <row r="5" spans="2:10" ht="13" customHeight="1" x14ac:dyDescent="0.15">
      <c r="B5" s="72"/>
      <c r="C5" s="73"/>
      <c r="D5" s="103"/>
      <c r="E5" s="103"/>
      <c r="F5" s="73"/>
      <c r="G5" s="103" t="s">
        <v>445</v>
      </c>
      <c r="H5" s="75"/>
    </row>
    <row r="6" spans="2:10" ht="13" customHeight="1" x14ac:dyDescent="0.15">
      <c r="B6" s="72"/>
      <c r="C6" s="73"/>
      <c r="D6" s="104"/>
      <c r="E6" s="104"/>
      <c r="F6" s="73"/>
      <c r="G6" s="73"/>
      <c r="H6" s="75"/>
    </row>
    <row r="7" spans="2:10" ht="13" customHeight="1" x14ac:dyDescent="0.15">
      <c r="B7" s="72"/>
      <c r="C7" s="77" t="s">
        <v>438</v>
      </c>
      <c r="D7" s="92"/>
      <c r="E7" s="105"/>
      <c r="F7" s="92"/>
      <c r="G7" s="92"/>
      <c r="H7" s="75"/>
    </row>
    <row r="8" spans="2:10" ht="13" customHeight="1" x14ac:dyDescent="0.15">
      <c r="B8" s="140"/>
      <c r="C8" s="77"/>
      <c r="D8" s="92"/>
      <c r="E8" s="105"/>
      <c r="F8" s="92"/>
      <c r="G8" s="92"/>
      <c r="H8" s="75"/>
    </row>
    <row r="9" spans="2:10" ht="15" customHeight="1" x14ac:dyDescent="0.15">
      <c r="B9" s="2"/>
      <c r="H9" s="22"/>
    </row>
    <row r="10" spans="2:10" ht="15" customHeight="1" x14ac:dyDescent="0.15">
      <c r="B10" s="2"/>
      <c r="C10" s="145" t="s">
        <v>410</v>
      </c>
      <c r="D10" s="146"/>
      <c r="H10" s="22"/>
    </row>
    <row r="11" spans="2:10" ht="15" customHeight="1" x14ac:dyDescent="0.15">
      <c r="B11" s="144"/>
      <c r="C11" s="145"/>
      <c r="D11" s="146"/>
      <c r="H11" s="22"/>
    </row>
    <row r="12" spans="2:10" ht="17" thickBot="1" x14ac:dyDescent="0.2">
      <c r="B12" s="2"/>
      <c r="C12" s="146"/>
      <c r="D12" s="147" t="s">
        <v>28</v>
      </c>
      <c r="H12" s="22"/>
    </row>
    <row r="13" spans="2:10" ht="20" customHeight="1" x14ac:dyDescent="0.15">
      <c r="B13" s="2"/>
      <c r="C13" s="133" t="s">
        <v>29</v>
      </c>
      <c r="D13" s="332">
        <v>1293.2053016929199</v>
      </c>
      <c r="G13" s="148"/>
      <c r="H13" s="88">
        <v>0</v>
      </c>
      <c r="J13" s="149"/>
    </row>
    <row r="14" spans="2:10" ht="20" customHeight="1" x14ac:dyDescent="0.15">
      <c r="B14" s="2"/>
      <c r="C14" s="134" t="s">
        <v>16</v>
      </c>
      <c r="D14" s="333">
        <v>295.13259332656003</v>
      </c>
      <c r="G14" s="148"/>
      <c r="H14" s="88">
        <v>1</v>
      </c>
      <c r="J14" s="149"/>
    </row>
    <row r="15" spans="2:10" ht="20" customHeight="1" x14ac:dyDescent="0.15">
      <c r="B15" s="2"/>
      <c r="C15" s="134" t="s">
        <v>30</v>
      </c>
      <c r="D15" s="333">
        <v>1004.51195465031</v>
      </c>
      <c r="G15" s="148"/>
      <c r="H15" s="88">
        <v>2</v>
      </c>
      <c r="J15" s="149"/>
    </row>
    <row r="16" spans="2:10" ht="20" customHeight="1" x14ac:dyDescent="0.15">
      <c r="B16" s="2"/>
      <c r="C16" s="134" t="s">
        <v>31</v>
      </c>
      <c r="D16" s="333">
        <v>114.41013639331</v>
      </c>
      <c r="G16" s="148"/>
      <c r="H16" s="88">
        <v>3</v>
      </c>
      <c r="J16" s="149"/>
    </row>
    <row r="17" spans="2:10" ht="20" customHeight="1" x14ac:dyDescent="0.15">
      <c r="B17" s="2"/>
      <c r="C17" s="134" t="s">
        <v>17</v>
      </c>
      <c r="D17" s="333">
        <v>0.10553044995000001</v>
      </c>
      <c r="G17" s="148"/>
      <c r="H17" s="88">
        <v>4</v>
      </c>
      <c r="J17" s="149"/>
    </row>
    <row r="18" spans="2:10" ht="20" customHeight="1" x14ac:dyDescent="0.15">
      <c r="B18" s="2"/>
      <c r="C18" s="134" t="s">
        <v>18</v>
      </c>
      <c r="D18" s="333">
        <v>114.30460594336</v>
      </c>
      <c r="G18" s="148"/>
      <c r="H18" s="88">
        <v>5</v>
      </c>
      <c r="J18" s="149"/>
    </row>
    <row r="19" spans="2:10" ht="20" customHeight="1" x14ac:dyDescent="0.15">
      <c r="B19" s="2"/>
      <c r="C19" s="134" t="s">
        <v>19</v>
      </c>
      <c r="D19" s="333">
        <v>0.52517965351999996</v>
      </c>
      <c r="G19" s="148"/>
      <c r="H19" s="88">
        <v>6</v>
      </c>
      <c r="J19" s="149"/>
    </row>
    <row r="20" spans="2:10" ht="20" customHeight="1" x14ac:dyDescent="0.15">
      <c r="B20" s="2"/>
      <c r="C20" s="134" t="s">
        <v>20</v>
      </c>
      <c r="D20" s="333">
        <v>113.77942628983999</v>
      </c>
      <c r="G20" s="148"/>
      <c r="H20" s="88">
        <v>7</v>
      </c>
      <c r="J20" s="149"/>
    </row>
    <row r="21" spans="2:10" ht="20" customHeight="1" x14ac:dyDescent="0.15">
      <c r="B21" s="2"/>
      <c r="C21" s="134" t="s">
        <v>21</v>
      </c>
      <c r="D21" s="333">
        <v>0.45296273461000003</v>
      </c>
      <c r="G21" s="148"/>
      <c r="H21" s="88">
        <v>8</v>
      </c>
      <c r="J21" s="149"/>
    </row>
    <row r="22" spans="2:10" ht="20" customHeight="1" x14ac:dyDescent="0.15">
      <c r="B22" s="2"/>
      <c r="C22" s="134" t="s">
        <v>22</v>
      </c>
      <c r="D22" s="333">
        <v>114.23238902444999</v>
      </c>
      <c r="G22" s="148"/>
      <c r="H22" s="88">
        <v>9</v>
      </c>
      <c r="J22" s="149"/>
    </row>
    <row r="23" spans="2:10" ht="20" customHeight="1" x14ac:dyDescent="0.15">
      <c r="B23" s="2"/>
      <c r="C23" s="134" t="s">
        <v>32</v>
      </c>
      <c r="D23" s="333">
        <v>114.80238511961001</v>
      </c>
      <c r="G23" s="148"/>
      <c r="H23" s="88">
        <v>10</v>
      </c>
      <c r="J23" s="149"/>
    </row>
    <row r="24" spans="2:10" ht="20" customHeight="1" x14ac:dyDescent="0.15">
      <c r="B24" s="2"/>
      <c r="C24" s="134" t="s">
        <v>33</v>
      </c>
      <c r="D24" s="333">
        <v>14.563077486760001</v>
      </c>
      <c r="G24" s="148"/>
      <c r="H24" s="88">
        <v>11</v>
      </c>
      <c r="J24" s="149"/>
    </row>
    <row r="25" spans="2:10" ht="20" customHeight="1" thickBot="1" x14ac:dyDescent="0.2">
      <c r="B25" s="2"/>
      <c r="C25" s="331" t="s">
        <v>34</v>
      </c>
      <c r="D25" s="334">
        <v>16.50352849866</v>
      </c>
      <c r="G25" s="148"/>
      <c r="H25" s="88">
        <v>12</v>
      </c>
      <c r="J25" s="149"/>
    </row>
    <row r="26" spans="2:10" x14ac:dyDescent="0.15">
      <c r="B26" s="2"/>
      <c r="C26" s="21"/>
      <c r="D26" s="128"/>
      <c r="H26" s="22"/>
    </row>
    <row r="27" spans="2:10" ht="14" thickBot="1" x14ac:dyDescent="0.2">
      <c r="B27" s="28"/>
      <c r="C27" s="13" t="s">
        <v>446</v>
      </c>
      <c r="D27" s="13"/>
      <c r="E27" s="13"/>
      <c r="F27" s="13"/>
      <c r="G27" s="13"/>
      <c r="H27" s="27"/>
    </row>
    <row r="29" spans="2:10" x14ac:dyDescent="0.15">
      <c r="D29" s="117"/>
    </row>
    <row r="30" spans="2:10" x14ac:dyDescent="0.15">
      <c r="D30" s="117"/>
    </row>
    <row r="37" spans="3:3" x14ac:dyDescent="0.15">
      <c r="C37" s="9"/>
    </row>
  </sheetData>
  <sheetProtection selectLockedCells="1" selectUnlockedCells="1"/>
  <printOptions horizontalCentered="1"/>
  <pageMargins left="0.39370078740157483" right="0.39370078740157483" top="0.59055118110236227" bottom="0.59055118110236227" header="0.51181102362204722" footer="0.31496062992125984"/>
  <pageSetup paperSize="9" scale="118" firstPageNumber="0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V44"/>
  <sheetViews>
    <sheetView showGridLines="0" zoomScale="90" zoomScaleNormal="90" zoomScalePageLayoutView="90" workbookViewId="0">
      <selection sqref="A1:XFD1048576"/>
    </sheetView>
  </sheetViews>
  <sheetFormatPr baseColWidth="10" defaultColWidth="8.83203125" defaultRowHeight="13" x14ac:dyDescent="0.15"/>
  <cols>
    <col min="1" max="2" width="3.33203125" style="1" customWidth="1"/>
    <col min="3" max="3" width="17.6640625" style="1" customWidth="1"/>
    <col min="4" max="4" width="11.6640625" style="1" customWidth="1"/>
    <col min="5" max="5" width="9.6640625" style="1" customWidth="1"/>
    <col min="6" max="19" width="8.6640625" style="1" customWidth="1"/>
    <col min="20" max="21" width="9.6640625" style="1" customWidth="1"/>
    <col min="22" max="22" width="3.33203125" style="1" customWidth="1"/>
    <col min="23" max="23" width="8.83203125" style="1"/>
    <col min="24" max="24" width="8.33203125" style="1" customWidth="1"/>
    <col min="25" max="25" width="12.1640625" style="1" customWidth="1"/>
    <col min="26" max="30" width="8.83203125" style="1"/>
    <col min="31" max="32" width="14.5" style="1" customWidth="1"/>
    <col min="33" max="16384" width="8.83203125" style="1"/>
  </cols>
  <sheetData>
    <row r="1" spans="2:22" ht="13.5" customHeight="1" x14ac:dyDescent="0.15"/>
    <row r="2" spans="2:22" ht="13.5" customHeight="1" x14ac:dyDescent="0.15"/>
    <row r="3" spans="2:22" s="9" customFormat="1" ht="14" thickBot="1" x14ac:dyDescent="0.2">
      <c r="B3" s="184">
        <v>2.5</v>
      </c>
      <c r="C3" s="9">
        <v>17</v>
      </c>
      <c r="D3" s="9">
        <v>11</v>
      </c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4">
        <v>2.5</v>
      </c>
    </row>
    <row r="4" spans="2:22" ht="13" customHeight="1" x14ac:dyDescent="0.15">
      <c r="B4" s="69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1"/>
    </row>
    <row r="5" spans="2:22" ht="13" customHeight="1" x14ac:dyDescent="0.15">
      <c r="B5" s="72"/>
      <c r="C5" s="73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 t="s">
        <v>466</v>
      </c>
      <c r="V5" s="75"/>
    </row>
    <row r="6" spans="2:22" ht="13" customHeight="1" x14ac:dyDescent="0.15"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5"/>
    </row>
    <row r="7" spans="2:22" ht="13" customHeight="1" x14ac:dyDescent="0.15">
      <c r="B7" s="72"/>
      <c r="C7" s="76"/>
      <c r="D7" s="77" t="s">
        <v>438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5"/>
    </row>
    <row r="8" spans="2:22" ht="13" customHeight="1" x14ac:dyDescent="0.15">
      <c r="B8" s="72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5"/>
    </row>
    <row r="9" spans="2:22" ht="15" customHeight="1" x14ac:dyDescent="0.15">
      <c r="B9" s="2"/>
      <c r="C9" s="12"/>
      <c r="V9" s="22"/>
    </row>
    <row r="10" spans="2:22" ht="15" customHeight="1" x14ac:dyDescent="0.15">
      <c r="B10" s="2"/>
      <c r="C10" s="12" t="s">
        <v>11</v>
      </c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V10" s="22"/>
    </row>
    <row r="11" spans="2:22" ht="15" customHeight="1" thickBot="1" x14ac:dyDescent="0.2">
      <c r="B11" s="2"/>
      <c r="C11" s="12"/>
      <c r="P11" s="11"/>
      <c r="Q11" s="11"/>
      <c r="R11" s="11"/>
      <c r="S11" s="11"/>
      <c r="T11" s="11"/>
      <c r="U11" s="11" t="s">
        <v>39</v>
      </c>
      <c r="V11" s="22"/>
    </row>
    <row r="12" spans="2:22" ht="15" customHeight="1" thickBot="1" x14ac:dyDescent="0.2">
      <c r="B12" s="2"/>
      <c r="C12" s="477" t="s">
        <v>65</v>
      </c>
      <c r="D12" s="477" t="s">
        <v>68</v>
      </c>
      <c r="E12" s="477" t="s">
        <v>363</v>
      </c>
      <c r="F12" s="477" t="s">
        <v>374</v>
      </c>
      <c r="G12" s="477" t="s">
        <v>0</v>
      </c>
      <c r="H12" s="481" t="s">
        <v>7</v>
      </c>
      <c r="I12" s="481"/>
      <c r="J12" s="481"/>
      <c r="K12" s="481"/>
      <c r="L12" s="481"/>
      <c r="M12" s="481"/>
      <c r="N12" s="481"/>
      <c r="O12" s="477" t="s">
        <v>66</v>
      </c>
      <c r="P12" s="477" t="s">
        <v>40</v>
      </c>
      <c r="Q12" s="477" t="s">
        <v>360</v>
      </c>
      <c r="R12" s="477" t="s">
        <v>361</v>
      </c>
      <c r="S12" s="477" t="s">
        <v>362</v>
      </c>
      <c r="T12" s="477" t="s">
        <v>44</v>
      </c>
      <c r="U12" s="477" t="s">
        <v>46</v>
      </c>
      <c r="V12" s="22"/>
    </row>
    <row r="13" spans="2:22" ht="37.5" customHeight="1" thickBot="1" x14ac:dyDescent="0.2">
      <c r="B13" s="2"/>
      <c r="C13" s="478"/>
      <c r="D13" s="478"/>
      <c r="E13" s="478"/>
      <c r="F13" s="478"/>
      <c r="G13" s="478"/>
      <c r="H13" s="26" t="s">
        <v>1</v>
      </c>
      <c r="I13" s="26" t="s">
        <v>364</v>
      </c>
      <c r="J13" s="26" t="s">
        <v>3</v>
      </c>
      <c r="K13" s="26" t="s">
        <v>4</v>
      </c>
      <c r="L13" s="26" t="s">
        <v>5</v>
      </c>
      <c r="M13" s="26" t="s">
        <v>67</v>
      </c>
      <c r="N13" s="26" t="s">
        <v>6</v>
      </c>
      <c r="O13" s="478"/>
      <c r="P13" s="478"/>
      <c r="Q13" s="478"/>
      <c r="R13" s="478"/>
      <c r="S13" s="478"/>
      <c r="T13" s="478"/>
      <c r="U13" s="478"/>
      <c r="V13" s="22"/>
    </row>
    <row r="14" spans="2:22" ht="18" customHeight="1" x14ac:dyDescent="0.15">
      <c r="B14" s="2"/>
      <c r="C14" s="14" t="s">
        <v>417</v>
      </c>
      <c r="D14" s="286">
        <v>15170717</v>
      </c>
      <c r="E14" s="285">
        <v>1099.50168419682</v>
      </c>
      <c r="F14" s="285">
        <v>166.1367074691</v>
      </c>
      <c r="G14" s="285">
        <v>377.27565549545</v>
      </c>
      <c r="H14" s="59">
        <v>53.677560792720001</v>
      </c>
      <c r="I14" s="285">
        <v>23.23858400352</v>
      </c>
      <c r="J14" s="285">
        <v>16.414249101239999</v>
      </c>
      <c r="K14" s="285">
        <v>42.448822075260004</v>
      </c>
      <c r="L14" s="285">
        <v>15.111556078629999</v>
      </c>
      <c r="M14" s="59">
        <v>10.37694552918</v>
      </c>
      <c r="N14" s="59">
        <v>77.989602017569979</v>
      </c>
      <c r="O14" s="59">
        <v>860.27535111048007</v>
      </c>
      <c r="P14" s="59">
        <v>114.23238902444999</v>
      </c>
      <c r="Q14" s="59">
        <v>113.37399484689999</v>
      </c>
      <c r="R14" s="59">
        <v>14.563077486760001</v>
      </c>
      <c r="S14" s="59">
        <v>15.066384557239999</v>
      </c>
      <c r="T14" s="59">
        <v>4161.6677997448396</v>
      </c>
      <c r="U14" s="59">
        <v>347.72451678822</v>
      </c>
      <c r="V14" s="88">
        <v>2</v>
      </c>
    </row>
    <row r="15" spans="2:22" ht="18" customHeight="1" thickBot="1" x14ac:dyDescent="0.2">
      <c r="B15" s="2"/>
      <c r="C15" s="192" t="s">
        <v>418</v>
      </c>
      <c r="D15" s="287">
        <v>11323699</v>
      </c>
      <c r="E15" s="288">
        <v>193.70361749610001</v>
      </c>
      <c r="F15" s="288">
        <v>41.22474139386</v>
      </c>
      <c r="G15" s="288">
        <v>254.89560620493</v>
      </c>
      <c r="H15" s="194">
        <v>8.685417492700001</v>
      </c>
      <c r="I15" s="288">
        <v>7.1465462839200002</v>
      </c>
      <c r="J15" s="288">
        <v>2.5304555926200001</v>
      </c>
      <c r="K15" s="288">
        <v>8.5708766341500002</v>
      </c>
      <c r="L15" s="288">
        <v>1.9788504275999999</v>
      </c>
      <c r="M15" s="194">
        <v>2.56696038188</v>
      </c>
      <c r="N15" s="194">
        <v>24.396166915569996</v>
      </c>
      <c r="O15" s="194">
        <v>144.23660353983001</v>
      </c>
      <c r="P15" s="194">
        <v>0</v>
      </c>
      <c r="Q15" s="194">
        <v>1.4283902727100002</v>
      </c>
      <c r="R15" s="194">
        <v>0</v>
      </c>
      <c r="S15" s="194">
        <v>1.43714394142</v>
      </c>
      <c r="T15" s="194">
        <v>1663.8098992908199</v>
      </c>
      <c r="U15" s="194">
        <v>161.17393268922001</v>
      </c>
      <c r="V15" s="88">
        <v>5</v>
      </c>
    </row>
    <row r="16" spans="2:22" ht="18" customHeight="1" thickBot="1" x14ac:dyDescent="0.2">
      <c r="B16" s="2"/>
      <c r="C16" s="15" t="s">
        <v>64</v>
      </c>
      <c r="D16" s="16">
        <v>26494416</v>
      </c>
      <c r="E16" s="17">
        <v>1293.2053016929199</v>
      </c>
      <c r="F16" s="17">
        <v>207.36144886296</v>
      </c>
      <c r="G16" s="17">
        <v>632.17126170038</v>
      </c>
      <c r="H16" s="17">
        <v>62.362978285419999</v>
      </c>
      <c r="I16" s="17">
        <v>30.385130287439999</v>
      </c>
      <c r="J16" s="17">
        <v>18.94470469386</v>
      </c>
      <c r="K16" s="17">
        <v>51.019698709410008</v>
      </c>
      <c r="L16" s="17">
        <v>17.09040650623</v>
      </c>
      <c r="M16" s="17">
        <v>12.94390591106</v>
      </c>
      <c r="N16" s="17">
        <v>102.38576893313997</v>
      </c>
      <c r="O16" s="17">
        <v>1004.5119546503101</v>
      </c>
      <c r="P16" s="17">
        <v>114.23238902444999</v>
      </c>
      <c r="Q16" s="17">
        <v>114.80238511960999</v>
      </c>
      <c r="R16" s="17">
        <v>14.563077486760001</v>
      </c>
      <c r="S16" s="17">
        <v>16.50352849866</v>
      </c>
      <c r="T16" s="17">
        <v>5825.4776990356595</v>
      </c>
      <c r="U16" s="17">
        <v>508.89844947744001</v>
      </c>
      <c r="V16" s="22"/>
    </row>
    <row r="17" spans="2:22" x14ac:dyDescent="0.15">
      <c r="B17" s="2"/>
      <c r="C17" s="12"/>
      <c r="V17" s="22"/>
    </row>
    <row r="18" spans="2:22" x14ac:dyDescent="0.15">
      <c r="B18" s="2"/>
      <c r="C18" s="12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22"/>
    </row>
    <row r="19" spans="2:22" x14ac:dyDescent="0.15">
      <c r="B19" s="2"/>
      <c r="C19" s="12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22"/>
    </row>
    <row r="20" spans="2:22" x14ac:dyDescent="0.15">
      <c r="B20" s="2"/>
      <c r="C20" s="12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22"/>
    </row>
    <row r="21" spans="2:22" x14ac:dyDescent="0.15">
      <c r="B21" s="2"/>
      <c r="C21" s="12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22"/>
    </row>
    <row r="22" spans="2:22" x14ac:dyDescent="0.15">
      <c r="B22" s="2"/>
      <c r="C22" s="12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22"/>
    </row>
    <row r="23" spans="2:22" x14ac:dyDescent="0.15">
      <c r="B23" s="2"/>
      <c r="C23" s="12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22"/>
    </row>
    <row r="24" spans="2:22" x14ac:dyDescent="0.15">
      <c r="B24" s="2"/>
      <c r="C24" s="12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22"/>
    </row>
    <row r="25" spans="2:22" x14ac:dyDescent="0.15">
      <c r="B25" s="2"/>
      <c r="C25" s="12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22"/>
    </row>
    <row r="26" spans="2:22" x14ac:dyDescent="0.15">
      <c r="B26" s="2"/>
      <c r="C26" s="12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22"/>
    </row>
    <row r="27" spans="2:22" x14ac:dyDescent="0.15">
      <c r="B27" s="144"/>
      <c r="C27" s="12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22"/>
    </row>
    <row r="28" spans="2:22" x14ac:dyDescent="0.15">
      <c r="B28" s="2"/>
      <c r="C28" s="12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22"/>
    </row>
    <row r="29" spans="2:22" x14ac:dyDescent="0.15">
      <c r="B29" s="2"/>
      <c r="V29" s="22"/>
    </row>
    <row r="30" spans="2:22" x14ac:dyDescent="0.15">
      <c r="B30" s="2"/>
      <c r="C30" s="12"/>
      <c r="V30" s="22"/>
    </row>
    <row r="31" spans="2:22" x14ac:dyDescent="0.15">
      <c r="B31" s="2"/>
      <c r="C31" s="12"/>
      <c r="P31" s="11"/>
      <c r="Q31" s="11"/>
      <c r="R31" s="11"/>
      <c r="S31" s="11"/>
      <c r="T31" s="11"/>
      <c r="U31" s="11"/>
      <c r="V31" s="22"/>
    </row>
    <row r="32" spans="2:22" ht="18" customHeight="1" x14ac:dyDescent="0.15">
      <c r="B32" s="2"/>
      <c r="C32" s="479"/>
      <c r="D32" s="479"/>
      <c r="E32" s="479"/>
      <c r="F32" s="479"/>
      <c r="G32" s="479"/>
      <c r="H32" s="480"/>
      <c r="I32" s="480"/>
      <c r="J32" s="480"/>
      <c r="K32" s="480"/>
      <c r="L32" s="480"/>
      <c r="M32" s="480"/>
      <c r="N32" s="480"/>
      <c r="O32" s="479"/>
      <c r="P32" s="479"/>
      <c r="Q32" s="115"/>
      <c r="R32" s="115"/>
      <c r="S32" s="115"/>
      <c r="T32" s="479"/>
      <c r="U32" s="479"/>
      <c r="V32" s="22"/>
    </row>
    <row r="33" spans="1:22" ht="90.75" customHeight="1" x14ac:dyDescent="0.15">
      <c r="B33" s="2"/>
      <c r="C33" s="479"/>
      <c r="D33" s="479"/>
      <c r="E33" s="479"/>
      <c r="F33" s="479"/>
      <c r="G33" s="479"/>
      <c r="H33" s="115"/>
      <c r="I33" s="115"/>
      <c r="J33" s="115"/>
      <c r="K33" s="115"/>
      <c r="L33" s="115"/>
      <c r="M33" s="115"/>
      <c r="N33" s="115"/>
      <c r="O33" s="479"/>
      <c r="P33" s="479"/>
      <c r="Q33" s="115"/>
      <c r="R33" s="115"/>
      <c r="S33" s="115"/>
      <c r="T33" s="479"/>
      <c r="U33" s="479"/>
      <c r="V33" s="22"/>
    </row>
    <row r="34" spans="1:22" ht="18" customHeight="1" x14ac:dyDescent="0.15">
      <c r="B34" s="2"/>
      <c r="D34" s="64"/>
      <c r="E34" s="63"/>
      <c r="F34" s="63"/>
      <c r="G34" s="63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88">
        <v>0</v>
      </c>
    </row>
    <row r="35" spans="1:22" ht="18" customHeight="1" x14ac:dyDescent="0.15">
      <c r="B35" s="2"/>
      <c r="D35" s="64"/>
      <c r="E35" s="63"/>
      <c r="F35" s="63"/>
      <c r="G35" s="63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88"/>
    </row>
    <row r="36" spans="1:22" ht="18" customHeight="1" x14ac:dyDescent="0.15">
      <c r="B36" s="2"/>
      <c r="D36" s="116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88">
        <v>1</v>
      </c>
    </row>
    <row r="37" spans="1:22" ht="18" customHeight="1" x14ac:dyDescent="0.15">
      <c r="B37" s="2"/>
      <c r="C37" s="9"/>
      <c r="D37" s="116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88">
        <v>2</v>
      </c>
    </row>
    <row r="38" spans="1:22" ht="17.25" customHeight="1" x14ac:dyDescent="0.15">
      <c r="B38" s="2"/>
      <c r="C38" s="18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2"/>
    </row>
    <row r="39" spans="1:22" ht="17.25" customHeight="1" x14ac:dyDescent="0.15">
      <c r="A39" s="2"/>
      <c r="B39" s="2"/>
      <c r="C39" s="18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2"/>
    </row>
    <row r="40" spans="1:22" ht="14" thickBot="1" x14ac:dyDescent="0.2">
      <c r="B40" s="28"/>
      <c r="C40" s="29"/>
      <c r="D40" s="30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27"/>
    </row>
    <row r="41" spans="1:22" x14ac:dyDescent="0.15">
      <c r="B41" s="24"/>
      <c r="C41" s="18"/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4"/>
    </row>
    <row r="43" spans="1:22" x14ac:dyDescent="0.15"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</row>
    <row r="44" spans="1:22" x14ac:dyDescent="0.15"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</row>
  </sheetData>
  <sheetProtection selectLockedCells="1" selectUnlockedCells="1"/>
  <mergeCells count="23">
    <mergeCell ref="T32:T33"/>
    <mergeCell ref="U32:U33"/>
    <mergeCell ref="T12:T13"/>
    <mergeCell ref="U12:U13"/>
    <mergeCell ref="P32:P33"/>
    <mergeCell ref="P12:P13"/>
    <mergeCell ref="Q12:Q13"/>
    <mergeCell ref="R12:R13"/>
    <mergeCell ref="S12:S13"/>
    <mergeCell ref="C12:C13"/>
    <mergeCell ref="D12:D13"/>
    <mergeCell ref="E12:E13"/>
    <mergeCell ref="F12:F13"/>
    <mergeCell ref="O32:O33"/>
    <mergeCell ref="O12:O13"/>
    <mergeCell ref="G12:G13"/>
    <mergeCell ref="H12:N12"/>
    <mergeCell ref="H32:N32"/>
    <mergeCell ref="C32:C33"/>
    <mergeCell ref="D32:D33"/>
    <mergeCell ref="E32:E33"/>
    <mergeCell ref="F32:F33"/>
    <mergeCell ref="G32:G33"/>
  </mergeCells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74" firstPageNumber="0" fitToHeight="2" orientation="landscape"/>
  <headerFooter alignWithMargins="0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14"/>
  <dimension ref="B3:N37"/>
  <sheetViews>
    <sheetView showGridLines="0" topLeftCell="A10" workbookViewId="0">
      <selection activeCell="G35" sqref="G35"/>
    </sheetView>
  </sheetViews>
  <sheetFormatPr baseColWidth="10" defaultColWidth="8.83203125" defaultRowHeight="13" x14ac:dyDescent="0.15"/>
  <cols>
    <col min="1" max="1" width="3.33203125" style="1" customWidth="1"/>
    <col min="2" max="2" width="5.6640625" style="1" customWidth="1"/>
    <col min="3" max="3" width="47.6640625" style="1" customWidth="1"/>
    <col min="4" max="4" width="14.1640625" style="1" customWidth="1"/>
    <col min="5" max="5" width="9.5" style="1" customWidth="1"/>
    <col min="6" max="6" width="24.5" style="1" customWidth="1"/>
    <col min="7" max="7" width="7.5" style="1" customWidth="1"/>
    <col min="8" max="9" width="5.5" style="1" customWidth="1"/>
    <col min="10" max="11" width="11.6640625" style="1" customWidth="1"/>
    <col min="12" max="16384" width="8.83203125" style="1"/>
  </cols>
  <sheetData>
    <row r="3" spans="2:8" ht="14" thickBot="1" x14ac:dyDescent="0.2"/>
    <row r="4" spans="2:8" ht="13" customHeight="1" x14ac:dyDescent="0.15">
      <c r="B4" s="69"/>
      <c r="C4" s="70"/>
      <c r="D4" s="70"/>
      <c r="E4" s="70"/>
      <c r="F4" s="70"/>
      <c r="G4" s="70"/>
      <c r="H4" s="82"/>
    </row>
    <row r="5" spans="2:8" ht="13" customHeight="1" x14ac:dyDescent="0.15">
      <c r="B5" s="72"/>
      <c r="C5" s="73"/>
      <c r="D5" s="103"/>
      <c r="E5" s="103"/>
      <c r="F5" s="103"/>
      <c r="G5" s="103" t="s">
        <v>444</v>
      </c>
      <c r="H5" s="75"/>
    </row>
    <row r="6" spans="2:8" ht="13" customHeight="1" x14ac:dyDescent="0.15">
      <c r="B6" s="72"/>
      <c r="C6" s="73"/>
      <c r="D6" s="104"/>
      <c r="E6" s="104"/>
      <c r="F6" s="104"/>
      <c r="G6" s="104"/>
      <c r="H6" s="75"/>
    </row>
    <row r="7" spans="2:8" ht="13" customHeight="1" x14ac:dyDescent="0.15">
      <c r="B7" s="72"/>
      <c r="C7" s="77" t="s">
        <v>438</v>
      </c>
      <c r="D7" s="105"/>
      <c r="E7" s="105"/>
      <c r="F7" s="105"/>
      <c r="G7" s="105"/>
      <c r="H7" s="75"/>
    </row>
    <row r="8" spans="2:8" ht="13" customHeight="1" x14ac:dyDescent="0.15">
      <c r="B8" s="72"/>
      <c r="C8" s="77"/>
      <c r="D8" s="105"/>
      <c r="E8" s="105"/>
      <c r="F8" s="105"/>
      <c r="G8" s="105"/>
      <c r="H8" s="75"/>
    </row>
    <row r="9" spans="2:8" ht="15" customHeight="1" x14ac:dyDescent="0.15">
      <c r="B9" s="2"/>
      <c r="C9" s="46"/>
      <c r="D9" s="49"/>
      <c r="E9" s="49"/>
      <c r="F9" s="49"/>
      <c r="G9" s="49"/>
      <c r="H9" s="22"/>
    </row>
    <row r="10" spans="2:8" ht="15" customHeight="1" x14ac:dyDescent="0.15">
      <c r="B10" s="2"/>
      <c r="D10" s="34"/>
      <c r="E10" s="34"/>
      <c r="F10" s="34"/>
      <c r="G10" s="34"/>
      <c r="H10" s="22"/>
    </row>
    <row r="11" spans="2:8" ht="15" customHeight="1" x14ac:dyDescent="0.15">
      <c r="B11" s="2"/>
      <c r="C11" s="130" t="s">
        <v>411</v>
      </c>
      <c r="D11" s="151"/>
      <c r="E11" s="34"/>
      <c r="F11" s="12"/>
      <c r="G11" s="34"/>
      <c r="H11" s="22"/>
    </row>
    <row r="12" spans="2:8" ht="15" customHeight="1" x14ac:dyDescent="0.15">
      <c r="B12" s="144"/>
      <c r="C12" s="130"/>
      <c r="D12" s="151"/>
      <c r="E12" s="34"/>
      <c r="F12" s="12"/>
      <c r="G12" s="34"/>
      <c r="H12" s="22"/>
    </row>
    <row r="13" spans="2:8" ht="21" customHeight="1" thickBot="1" x14ac:dyDescent="0.2">
      <c r="B13" s="2"/>
      <c r="C13" s="131"/>
      <c r="D13" s="132" t="s">
        <v>28</v>
      </c>
      <c r="E13" s="8"/>
      <c r="G13" s="8"/>
      <c r="H13" s="22"/>
    </row>
    <row r="14" spans="2:8" ht="26" customHeight="1" x14ac:dyDescent="0.15">
      <c r="B14" s="2"/>
      <c r="C14" s="152" t="s">
        <v>375</v>
      </c>
      <c r="D14" s="152">
        <v>1135.8047812313798</v>
      </c>
      <c r="E14" s="106">
        <v>0</v>
      </c>
      <c r="G14" s="117"/>
      <c r="H14" s="88">
        <v>0</v>
      </c>
    </row>
    <row r="15" spans="2:8" ht="26" customHeight="1" x14ac:dyDescent="0.15">
      <c r="B15" s="2"/>
      <c r="C15" s="356" t="s">
        <v>355</v>
      </c>
      <c r="D15" s="356">
        <v>137.31468037763</v>
      </c>
      <c r="E15" s="106">
        <v>1</v>
      </c>
      <c r="G15" s="117"/>
      <c r="H15" s="88">
        <v>1</v>
      </c>
    </row>
    <row r="16" spans="2:8" ht="26" customHeight="1" x14ac:dyDescent="0.15">
      <c r="B16" s="2"/>
      <c r="C16" s="356" t="s">
        <v>356</v>
      </c>
      <c r="D16" s="356">
        <v>16.105411296020002</v>
      </c>
      <c r="E16" s="106">
        <v>2</v>
      </c>
      <c r="G16" s="117"/>
      <c r="H16" s="88">
        <v>2</v>
      </c>
    </row>
    <row r="17" spans="2:14" ht="26" customHeight="1" x14ac:dyDescent="0.15">
      <c r="B17" s="2"/>
      <c r="C17" s="356" t="s">
        <v>357</v>
      </c>
      <c r="D17" s="356">
        <v>2.7315896742399999</v>
      </c>
      <c r="E17" s="106">
        <v>3</v>
      </c>
      <c r="G17" s="117"/>
      <c r="H17" s="88">
        <v>3</v>
      </c>
    </row>
    <row r="18" spans="2:14" ht="26" customHeight="1" x14ac:dyDescent="0.15">
      <c r="B18" s="2"/>
      <c r="C18" s="355" t="s">
        <v>376</v>
      </c>
      <c r="D18" s="355">
        <v>1.183107877E-2</v>
      </c>
      <c r="E18" s="106">
        <v>4</v>
      </c>
      <c r="G18" s="117"/>
      <c r="H18" s="88">
        <v>4</v>
      </c>
    </row>
    <row r="19" spans="2:14" ht="26" customHeight="1" x14ac:dyDescent="0.15">
      <c r="B19" s="2"/>
      <c r="C19" s="355" t="s">
        <v>377</v>
      </c>
      <c r="D19" s="355">
        <v>1.2370333248800001</v>
      </c>
      <c r="E19" s="106">
        <v>5</v>
      </c>
      <c r="G19" s="117"/>
      <c r="H19" s="88">
        <v>5</v>
      </c>
    </row>
    <row r="20" spans="2:14" ht="26" customHeight="1" x14ac:dyDescent="0.15">
      <c r="B20" s="144"/>
      <c r="C20" s="355">
        <v>0</v>
      </c>
      <c r="D20" s="355">
        <v>0</v>
      </c>
      <c r="E20" s="106">
        <v>6</v>
      </c>
      <c r="G20" s="117"/>
      <c r="H20" s="88"/>
    </row>
    <row r="21" spans="2:14" ht="26" customHeight="1" thickBot="1" x14ac:dyDescent="0.2">
      <c r="B21" s="144"/>
      <c r="C21" s="354">
        <v>0</v>
      </c>
      <c r="D21" s="354">
        <v>0</v>
      </c>
      <c r="E21" s="106">
        <v>7</v>
      </c>
      <c r="G21" s="117"/>
      <c r="H21" s="88"/>
    </row>
    <row r="22" spans="2:14" ht="26" customHeight="1" thickBot="1" x14ac:dyDescent="0.2">
      <c r="B22" s="2"/>
      <c r="C22" s="357" t="s">
        <v>358</v>
      </c>
      <c r="D22" s="357">
        <v>1293.2053269829198</v>
      </c>
      <c r="G22" s="117"/>
      <c r="H22" s="88">
        <v>6</v>
      </c>
    </row>
    <row r="23" spans="2:14" ht="14" customHeight="1" x14ac:dyDescent="0.15">
      <c r="B23" s="2"/>
      <c r="G23" s="117"/>
      <c r="H23" s="88">
        <v>7</v>
      </c>
      <c r="L23" s="6"/>
      <c r="M23" s="6"/>
      <c r="N23" s="6"/>
    </row>
    <row r="24" spans="2:14" ht="14" thickBot="1" x14ac:dyDescent="0.2">
      <c r="B24" s="28"/>
      <c r="C24" s="13"/>
      <c r="D24" s="13"/>
      <c r="E24" s="13"/>
      <c r="F24" s="13"/>
      <c r="G24" s="13"/>
      <c r="H24" s="27"/>
    </row>
    <row r="37" spans="3:3" x14ac:dyDescent="0.15">
      <c r="C37" s="9"/>
    </row>
  </sheetData>
  <sheetProtection selectLockedCells="1" selectUnlockedCells="1"/>
  <phoneticPr fontId="14" type="noConversion"/>
  <conditionalFormatting sqref="C20:D21">
    <cfRule type="cellIs" dxfId="18" priority="2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120" firstPageNumber="0" orientation="landscape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15">
    <pageSetUpPr fitToPage="1"/>
  </sheetPr>
  <dimension ref="B3:P38"/>
  <sheetViews>
    <sheetView showGridLines="0" topLeftCell="B10" workbookViewId="0">
      <selection activeCell="F27" sqref="F27"/>
    </sheetView>
  </sheetViews>
  <sheetFormatPr baseColWidth="10" defaultColWidth="8.83203125" defaultRowHeight="13" x14ac:dyDescent="0.15"/>
  <cols>
    <col min="1" max="1" width="3.33203125" style="1" customWidth="1"/>
    <col min="2" max="2" width="5.6640625" style="1" customWidth="1"/>
    <col min="3" max="3" width="84.33203125" style="1" customWidth="1"/>
    <col min="4" max="4" width="12.5" style="1" customWidth="1"/>
    <col min="5" max="5" width="9.5" style="1" customWidth="1"/>
    <col min="6" max="6" width="23.6640625" style="1" customWidth="1"/>
    <col min="7" max="9" width="5.5" style="1" customWidth="1"/>
    <col min="10" max="10" width="80.83203125" style="1" bestFit="1" customWidth="1"/>
    <col min="11" max="11" width="14.33203125" style="1" bestFit="1" customWidth="1"/>
    <col min="12" max="16384" width="8.83203125" style="1"/>
  </cols>
  <sheetData>
    <row r="3" spans="2:11" ht="14" thickBot="1" x14ac:dyDescent="0.2"/>
    <row r="4" spans="2:11" ht="13" customHeight="1" x14ac:dyDescent="0.15">
      <c r="B4" s="69"/>
      <c r="C4" s="70"/>
      <c r="D4" s="70"/>
      <c r="E4" s="70"/>
      <c r="F4" s="70"/>
      <c r="G4" s="70"/>
      <c r="H4" s="82"/>
    </row>
    <row r="5" spans="2:11" ht="13" customHeight="1" x14ac:dyDescent="0.15">
      <c r="B5" s="72"/>
      <c r="C5" s="73"/>
      <c r="D5" s="103"/>
      <c r="E5" s="103"/>
      <c r="F5" s="103"/>
      <c r="G5" s="103" t="s">
        <v>443</v>
      </c>
      <c r="H5" s="75"/>
    </row>
    <row r="6" spans="2:11" ht="13" customHeight="1" x14ac:dyDescent="0.15">
      <c r="B6" s="72"/>
      <c r="C6" s="73"/>
      <c r="D6" s="104"/>
      <c r="E6" s="104"/>
      <c r="F6" s="104"/>
      <c r="G6" s="104"/>
      <c r="H6" s="75"/>
    </row>
    <row r="7" spans="2:11" ht="13" customHeight="1" x14ac:dyDescent="0.15">
      <c r="B7" s="72"/>
      <c r="C7" s="77" t="s">
        <v>438</v>
      </c>
      <c r="D7" s="105"/>
      <c r="E7" s="105"/>
      <c r="F7" s="105"/>
      <c r="G7" s="105"/>
      <c r="H7" s="75"/>
    </row>
    <row r="8" spans="2:11" ht="13" customHeight="1" x14ac:dyDescent="0.15">
      <c r="B8" s="72"/>
      <c r="C8" s="77"/>
      <c r="D8" s="105"/>
      <c r="E8" s="105"/>
      <c r="F8" s="105"/>
      <c r="G8" s="105"/>
      <c r="H8" s="75"/>
    </row>
    <row r="9" spans="2:11" ht="13" customHeight="1" x14ac:dyDescent="0.15">
      <c r="B9" s="72"/>
      <c r="C9" s="77"/>
      <c r="D9" s="105"/>
      <c r="E9" s="105"/>
      <c r="F9" s="105"/>
      <c r="G9" s="105"/>
      <c r="H9" s="75"/>
    </row>
    <row r="10" spans="2:11" ht="15" customHeight="1" x14ac:dyDescent="0.15">
      <c r="B10" s="2"/>
      <c r="C10" s="46"/>
      <c r="D10" s="49"/>
      <c r="E10" s="49"/>
      <c r="F10" s="49"/>
      <c r="G10" s="49"/>
      <c r="H10" s="22"/>
    </row>
    <row r="11" spans="2:11" ht="15" customHeight="1" x14ac:dyDescent="0.15">
      <c r="B11" s="2"/>
      <c r="C11" s="130" t="s">
        <v>412</v>
      </c>
      <c r="D11" s="131"/>
      <c r="G11" s="117"/>
      <c r="H11" s="88"/>
      <c r="J11" s="130" t="s">
        <v>515</v>
      </c>
      <c r="K11" s="131"/>
    </row>
    <row r="12" spans="2:11" ht="15" customHeight="1" x14ac:dyDescent="0.15">
      <c r="B12" s="2"/>
      <c r="C12" s="153"/>
      <c r="D12" s="154"/>
      <c r="E12" s="7"/>
      <c r="G12" s="117"/>
      <c r="H12" s="88"/>
      <c r="J12" s="153"/>
      <c r="K12" s="154"/>
    </row>
    <row r="13" spans="2:11" ht="15" customHeight="1" thickBot="1" x14ac:dyDescent="0.2">
      <c r="B13" s="2"/>
      <c r="C13" s="131"/>
      <c r="D13" s="132" t="s">
        <v>28</v>
      </c>
      <c r="E13" s="7"/>
      <c r="G13" s="117"/>
      <c r="H13" s="88"/>
      <c r="J13" s="131"/>
      <c r="K13" s="132" t="s">
        <v>481</v>
      </c>
    </row>
    <row r="14" spans="2:11" ht="30" customHeight="1" thickBot="1" x14ac:dyDescent="0.2">
      <c r="B14" s="2"/>
      <c r="C14" s="152" t="s">
        <v>58</v>
      </c>
      <c r="D14" s="152">
        <v>67.151816832030008</v>
      </c>
      <c r="E14" s="107">
        <v>0</v>
      </c>
      <c r="F14" s="1">
        <f>D14*0.15</f>
        <v>10.072772524804501</v>
      </c>
      <c r="G14" s="117"/>
      <c r="H14" s="88"/>
      <c r="J14" s="152" t="s">
        <v>503</v>
      </c>
      <c r="K14" s="152">
        <v>67.151816832030008</v>
      </c>
    </row>
    <row r="15" spans="2:11" ht="30" customHeight="1" thickBot="1" x14ac:dyDescent="0.2">
      <c r="B15" s="2"/>
      <c r="C15" s="152" t="s">
        <v>61</v>
      </c>
      <c r="D15" s="152">
        <v>45.138252707230002</v>
      </c>
      <c r="E15" s="107">
        <v>1</v>
      </c>
      <c r="F15" s="1">
        <f t="shared" ref="F15:F25" si="0">D15*0.15</f>
        <v>6.7707379060845003</v>
      </c>
      <c r="G15" s="117"/>
      <c r="H15" s="88"/>
      <c r="J15" s="152" t="s">
        <v>508</v>
      </c>
      <c r="K15" s="152">
        <v>45.138252707230002</v>
      </c>
    </row>
    <row r="16" spans="2:11" ht="30" customHeight="1" thickBot="1" x14ac:dyDescent="0.2">
      <c r="B16" s="2"/>
      <c r="C16" s="414" t="s">
        <v>59</v>
      </c>
      <c r="D16" s="414">
        <v>38.048066183019998</v>
      </c>
      <c r="E16" s="107">
        <v>2</v>
      </c>
      <c r="F16" s="1">
        <f t="shared" si="0"/>
        <v>5.7072099274529995</v>
      </c>
      <c r="G16" s="117"/>
      <c r="H16" s="88"/>
      <c r="J16" s="152" t="s">
        <v>521</v>
      </c>
      <c r="K16" s="152">
        <v>38.048066183019998</v>
      </c>
    </row>
    <row r="17" spans="2:16" ht="30" customHeight="1" thickBot="1" x14ac:dyDescent="0.2">
      <c r="B17" s="2"/>
      <c r="C17" s="152" t="s">
        <v>70</v>
      </c>
      <c r="D17" s="152">
        <v>0</v>
      </c>
      <c r="E17" s="107">
        <v>3</v>
      </c>
      <c r="F17" s="1">
        <f t="shared" si="0"/>
        <v>0</v>
      </c>
      <c r="G17" s="117"/>
      <c r="H17" s="88"/>
      <c r="J17" s="152" t="s">
        <v>504</v>
      </c>
      <c r="K17" s="152">
        <v>0</v>
      </c>
      <c r="P17" s="7"/>
    </row>
    <row r="18" spans="2:16" ht="30" customHeight="1" thickBot="1" x14ac:dyDescent="0.2">
      <c r="B18" s="2"/>
      <c r="C18" s="152" t="s">
        <v>69</v>
      </c>
      <c r="D18" s="152">
        <v>10.920688785979999</v>
      </c>
      <c r="E18" s="107">
        <v>4</v>
      </c>
      <c r="F18" s="1">
        <f t="shared" si="0"/>
        <v>1.6381033178969999</v>
      </c>
      <c r="G18" s="117"/>
      <c r="H18" s="88"/>
      <c r="J18" s="152" t="s">
        <v>509</v>
      </c>
      <c r="K18" s="152">
        <v>10.920688785979999</v>
      </c>
      <c r="P18" s="7"/>
    </row>
    <row r="19" spans="2:16" ht="30" customHeight="1" thickBot="1" x14ac:dyDescent="0.2">
      <c r="B19" s="2"/>
      <c r="C19" s="414" t="s">
        <v>277</v>
      </c>
      <c r="D19" s="414">
        <v>4.1350357098200003</v>
      </c>
      <c r="E19" s="107">
        <v>5</v>
      </c>
      <c r="F19" s="1">
        <f t="shared" si="0"/>
        <v>0.62025535647300001</v>
      </c>
      <c r="G19" s="117"/>
      <c r="H19" s="88"/>
      <c r="J19" s="152" t="s">
        <v>505</v>
      </c>
      <c r="K19" s="152">
        <v>4.1350357098200003</v>
      </c>
      <c r="P19" s="7"/>
    </row>
    <row r="20" spans="2:16" ht="30" customHeight="1" thickBot="1" x14ac:dyDescent="0.2">
      <c r="B20" s="2"/>
      <c r="C20" s="152" t="s">
        <v>71</v>
      </c>
      <c r="D20" s="152">
        <v>0</v>
      </c>
      <c r="E20" s="107">
        <v>6</v>
      </c>
      <c r="F20" s="1">
        <f t="shared" si="0"/>
        <v>0</v>
      </c>
      <c r="G20" s="117"/>
      <c r="H20" s="88"/>
      <c r="J20" s="152" t="s">
        <v>510</v>
      </c>
      <c r="K20" s="152">
        <v>0</v>
      </c>
      <c r="P20" s="7"/>
    </row>
    <row r="21" spans="2:16" ht="30" customHeight="1" thickBot="1" x14ac:dyDescent="0.2">
      <c r="B21" s="2"/>
      <c r="C21" s="414" t="s">
        <v>60</v>
      </c>
      <c r="D21" s="414">
        <v>0.57947794161999999</v>
      </c>
      <c r="E21" s="107">
        <v>7</v>
      </c>
      <c r="F21" s="1">
        <f t="shared" si="0"/>
        <v>8.6921691242999991E-2</v>
      </c>
      <c r="G21" s="117"/>
      <c r="H21" s="88"/>
      <c r="J21" s="152" t="s">
        <v>511</v>
      </c>
      <c r="K21" s="152">
        <v>0.57947794161999999</v>
      </c>
      <c r="P21" s="7"/>
    </row>
    <row r="22" spans="2:16" ht="30" customHeight="1" thickBot="1" x14ac:dyDescent="0.2">
      <c r="B22" s="2"/>
      <c r="C22" s="152" t="s">
        <v>276</v>
      </c>
      <c r="D22" s="152">
        <v>0.15991347098</v>
      </c>
      <c r="E22" s="107">
        <v>8</v>
      </c>
      <c r="F22" s="1">
        <f t="shared" si="0"/>
        <v>2.3987020647E-2</v>
      </c>
      <c r="G22" s="117"/>
      <c r="H22" s="88"/>
      <c r="J22" s="152" t="s">
        <v>512</v>
      </c>
      <c r="K22" s="152">
        <v>0.15991347098</v>
      </c>
      <c r="P22" s="7"/>
    </row>
    <row r="23" spans="2:16" ht="30" customHeight="1" thickBot="1" x14ac:dyDescent="0.2">
      <c r="B23" s="2"/>
      <c r="C23" s="152" t="s">
        <v>432</v>
      </c>
      <c r="D23" s="152">
        <v>19.386580806400001</v>
      </c>
      <c r="E23" s="107">
        <v>9</v>
      </c>
      <c r="F23" s="1">
        <f t="shared" si="0"/>
        <v>2.9079871209600001</v>
      </c>
      <c r="G23" s="117"/>
      <c r="H23" s="88"/>
      <c r="J23" s="152" t="s">
        <v>506</v>
      </c>
      <c r="K23" s="152">
        <v>19.386580806400001</v>
      </c>
      <c r="P23" s="7"/>
    </row>
    <row r="24" spans="2:16" ht="30" customHeight="1" thickBot="1" x14ac:dyDescent="0.2">
      <c r="B24" s="2"/>
      <c r="C24" s="152" t="s">
        <v>345</v>
      </c>
      <c r="D24" s="152">
        <v>13.23080565251</v>
      </c>
      <c r="E24" s="107">
        <v>10</v>
      </c>
      <c r="F24" s="1">
        <f t="shared" si="0"/>
        <v>1.9846208478764999</v>
      </c>
      <c r="G24" s="117"/>
      <c r="H24" s="88"/>
      <c r="J24" s="152" t="s">
        <v>507</v>
      </c>
      <c r="K24" s="152">
        <v>13.23080565251</v>
      </c>
      <c r="P24" s="7"/>
    </row>
    <row r="25" spans="2:16" ht="30" customHeight="1" thickBot="1" x14ac:dyDescent="0.2">
      <c r="B25" s="347"/>
      <c r="C25" s="152" t="s">
        <v>436</v>
      </c>
      <c r="D25" s="152">
        <v>8.5540677394800007</v>
      </c>
      <c r="E25" s="107"/>
      <c r="F25" s="1">
        <f t="shared" si="0"/>
        <v>1.2831101609220001</v>
      </c>
      <c r="G25" s="117"/>
      <c r="H25" s="88"/>
      <c r="J25" s="152" t="s">
        <v>513</v>
      </c>
      <c r="K25" s="152">
        <v>8.5540677394800007</v>
      </c>
      <c r="P25" s="7"/>
    </row>
    <row r="26" spans="2:16" ht="30" customHeight="1" thickBot="1" x14ac:dyDescent="0.2">
      <c r="B26" s="2"/>
      <c r="C26" s="190" t="s">
        <v>421</v>
      </c>
      <c r="D26" s="190">
        <v>207.36163589396</v>
      </c>
      <c r="E26" s="7"/>
      <c r="F26" s="1">
        <f>SUM(F14:F25)</f>
        <v>31.095705874360497</v>
      </c>
      <c r="G26" s="117"/>
      <c r="H26" s="88"/>
      <c r="J26" s="190" t="s">
        <v>514</v>
      </c>
      <c r="K26" s="190">
        <v>207.36163589396</v>
      </c>
      <c r="P26" s="7"/>
    </row>
    <row r="27" spans="2:16" ht="14" customHeight="1" x14ac:dyDescent="0.15">
      <c r="B27" s="2"/>
      <c r="D27" s="7"/>
      <c r="E27" s="7"/>
      <c r="F27" s="12"/>
      <c r="G27" s="150"/>
      <c r="H27" s="22"/>
      <c r="P27" s="7"/>
    </row>
    <row r="28" spans="2:16" ht="14" thickBot="1" x14ac:dyDescent="0.2">
      <c r="B28" s="28"/>
      <c r="C28" s="13"/>
      <c r="D28" s="13"/>
      <c r="E28" s="13"/>
      <c r="F28" s="13"/>
      <c r="G28" s="13"/>
      <c r="H28" s="27"/>
    </row>
    <row r="30" spans="2:16" x14ac:dyDescent="0.15">
      <c r="D30" s="1">
        <f>(D16+D19+D21)*1000</f>
        <v>42762.579834459997</v>
      </c>
    </row>
    <row r="38" spans="3:3" x14ac:dyDescent="0.15">
      <c r="C38" s="9"/>
    </row>
  </sheetData>
  <sheetProtection selectLockedCells="1" selectUnlockedCells="1"/>
  <conditionalFormatting sqref="F14:G26">
    <cfRule type="cellIs" dxfId="17" priority="6" operator="equal">
      <formula>0</formula>
    </cfRule>
  </conditionalFormatting>
  <conditionalFormatting sqref="C23:D25">
    <cfRule type="cellIs" dxfId="16" priority="2" operator="equal">
      <formula>0</formula>
    </cfRule>
  </conditionalFormatting>
  <conditionalFormatting sqref="J23:K25">
    <cfRule type="cellIs" dxfId="15" priority="1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94" firstPageNumber="0" orientation="landscape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16">
    <pageSetUpPr fitToPage="1"/>
  </sheetPr>
  <dimension ref="B3:O53"/>
  <sheetViews>
    <sheetView showGridLines="0" topLeftCell="C15" zoomScale="125" zoomScaleNormal="125" zoomScalePageLayoutView="125" workbookViewId="0">
      <selection activeCell="D27" sqref="D27"/>
    </sheetView>
  </sheetViews>
  <sheetFormatPr baseColWidth="10" defaultColWidth="8.83203125" defaultRowHeight="13" x14ac:dyDescent="0.15"/>
  <cols>
    <col min="1" max="1" width="3.33203125" style="1" customWidth="1"/>
    <col min="2" max="2" width="5.6640625" style="1" customWidth="1"/>
    <col min="3" max="3" width="103.5" style="1" customWidth="1"/>
    <col min="4" max="4" width="12.5" style="1" customWidth="1"/>
    <col min="5" max="5" width="9.5" style="1" customWidth="1"/>
    <col min="6" max="6" width="10.5" style="1" customWidth="1"/>
    <col min="7" max="8" width="5.5" style="1" customWidth="1"/>
    <col min="9" max="9" width="93.33203125" style="1" bestFit="1" customWidth="1"/>
    <col min="10" max="10" width="11.6640625" style="1" customWidth="1"/>
    <col min="11" max="16384" width="8.83203125" style="1"/>
  </cols>
  <sheetData>
    <row r="3" spans="2:10" ht="14" thickBot="1" x14ac:dyDescent="0.2"/>
    <row r="4" spans="2:10" ht="13" customHeight="1" x14ac:dyDescent="0.15">
      <c r="B4" s="69"/>
      <c r="C4" s="70"/>
      <c r="D4" s="70"/>
      <c r="E4" s="70"/>
      <c r="F4" s="70"/>
      <c r="G4" s="82"/>
    </row>
    <row r="5" spans="2:10" ht="13" customHeight="1" x14ac:dyDescent="0.15">
      <c r="B5" s="72"/>
      <c r="C5" s="73"/>
      <c r="D5" s="103"/>
      <c r="E5" s="103"/>
      <c r="F5" s="103" t="s">
        <v>442</v>
      </c>
      <c r="G5" s="75"/>
    </row>
    <row r="6" spans="2:10" ht="13" customHeight="1" x14ac:dyDescent="0.15">
      <c r="B6" s="72"/>
      <c r="C6" s="73"/>
      <c r="D6" s="104"/>
      <c r="E6" s="104"/>
      <c r="F6" s="104"/>
      <c r="G6" s="75"/>
    </row>
    <row r="7" spans="2:10" ht="13" customHeight="1" x14ac:dyDescent="0.15">
      <c r="B7" s="72"/>
      <c r="C7" s="77" t="s">
        <v>438</v>
      </c>
      <c r="D7" s="105"/>
      <c r="E7" s="105"/>
      <c r="F7" s="105"/>
      <c r="G7" s="75"/>
    </row>
    <row r="8" spans="2:10" ht="13" customHeight="1" x14ac:dyDescent="0.15">
      <c r="B8" s="72"/>
      <c r="C8" s="77"/>
      <c r="D8" s="105"/>
      <c r="E8" s="105"/>
      <c r="F8" s="105"/>
      <c r="G8" s="75"/>
    </row>
    <row r="9" spans="2:10" ht="15" customHeight="1" x14ac:dyDescent="0.15">
      <c r="B9" s="2"/>
      <c r="C9" s="46"/>
      <c r="D9" s="49"/>
      <c r="E9" s="49"/>
      <c r="F9" s="49"/>
      <c r="G9" s="22"/>
    </row>
    <row r="10" spans="2:10" ht="15" customHeight="1" x14ac:dyDescent="0.15">
      <c r="B10" s="2"/>
      <c r="C10" s="12" t="s">
        <v>413</v>
      </c>
      <c r="D10" s="34"/>
      <c r="E10" s="34"/>
      <c r="F10" s="34"/>
      <c r="G10" s="22"/>
      <c r="I10" s="408" t="s">
        <v>483</v>
      </c>
      <c r="J10" s="34"/>
    </row>
    <row r="11" spans="2:10" ht="15" customHeight="1" thickBot="1" x14ac:dyDescent="0.2">
      <c r="B11" s="2"/>
      <c r="D11" s="9" t="s">
        <v>28</v>
      </c>
      <c r="E11" s="34"/>
      <c r="G11" s="22"/>
      <c r="J11" s="9" t="s">
        <v>481</v>
      </c>
    </row>
    <row r="12" spans="2:10" ht="15" customHeight="1" x14ac:dyDescent="0.15">
      <c r="B12" s="2"/>
      <c r="C12" s="14" t="s">
        <v>278</v>
      </c>
      <c r="D12" s="348">
        <v>2.2637757896899999</v>
      </c>
      <c r="E12" s="8"/>
      <c r="G12" s="22"/>
      <c r="I12" s="14" t="s">
        <v>475</v>
      </c>
      <c r="J12" s="348">
        <v>2.2637757896899999</v>
      </c>
    </row>
    <row r="13" spans="2:10" ht="15" customHeight="1" x14ac:dyDescent="0.15">
      <c r="B13" s="2"/>
      <c r="C13" s="23" t="s">
        <v>49</v>
      </c>
      <c r="D13" s="349">
        <v>3.75260233762</v>
      </c>
      <c r="E13" s="106"/>
      <c r="G13" s="88">
        <v>0</v>
      </c>
      <c r="I13" s="23" t="s">
        <v>524</v>
      </c>
      <c r="J13" s="349">
        <v>3.75260233762</v>
      </c>
    </row>
    <row r="14" spans="2:10" ht="15" customHeight="1" x14ac:dyDescent="0.15">
      <c r="B14" s="2"/>
      <c r="C14" s="23" t="s">
        <v>279</v>
      </c>
      <c r="D14" s="349">
        <v>0</v>
      </c>
      <c r="E14" s="106"/>
      <c r="G14" s="88">
        <v>1</v>
      </c>
      <c r="I14" s="23" t="s">
        <v>484</v>
      </c>
      <c r="J14" s="349">
        <v>0</v>
      </c>
    </row>
    <row r="15" spans="2:10" ht="15" customHeight="1" x14ac:dyDescent="0.15">
      <c r="B15" s="2"/>
      <c r="C15" s="23" t="s">
        <v>50</v>
      </c>
      <c r="D15" s="349">
        <v>23.208259738580001</v>
      </c>
      <c r="E15" s="106"/>
      <c r="G15" s="88">
        <v>2</v>
      </c>
      <c r="I15" s="23" t="s">
        <v>476</v>
      </c>
      <c r="J15" s="349">
        <v>23.208259738580001</v>
      </c>
    </row>
    <row r="16" spans="2:10" ht="15" customHeight="1" x14ac:dyDescent="0.15">
      <c r="B16" s="2"/>
      <c r="C16" s="415" t="s">
        <v>51</v>
      </c>
      <c r="D16" s="416">
        <v>44.129219012889997</v>
      </c>
      <c r="E16" s="417" t="s">
        <v>525</v>
      </c>
      <c r="G16" s="88">
        <v>3</v>
      </c>
      <c r="I16" s="23" t="s">
        <v>477</v>
      </c>
      <c r="J16" s="349">
        <v>44.129219012889997</v>
      </c>
    </row>
    <row r="17" spans="2:15" ht="15" customHeight="1" x14ac:dyDescent="0.15">
      <c r="B17" s="2"/>
      <c r="C17" s="23" t="s">
        <v>52</v>
      </c>
      <c r="D17" s="349">
        <v>231.30235612084999</v>
      </c>
      <c r="E17" s="106"/>
      <c r="G17" s="88">
        <v>4</v>
      </c>
      <c r="I17" s="23" t="s">
        <v>492</v>
      </c>
      <c r="J17" s="349">
        <v>231.30235612084999</v>
      </c>
    </row>
    <row r="18" spans="2:15" ht="15" customHeight="1" x14ac:dyDescent="0.15">
      <c r="B18" s="2"/>
      <c r="C18" s="23" t="s">
        <v>57</v>
      </c>
      <c r="D18" s="349">
        <v>33.046565971379998</v>
      </c>
      <c r="E18" s="106"/>
      <c r="G18" s="88">
        <v>5</v>
      </c>
      <c r="I18" s="23" t="s">
        <v>485</v>
      </c>
      <c r="J18" s="349">
        <v>33.046565971379998</v>
      </c>
    </row>
    <row r="19" spans="2:15" ht="15" customHeight="1" x14ac:dyDescent="0.15">
      <c r="B19" s="2"/>
      <c r="C19" s="23" t="s">
        <v>53</v>
      </c>
      <c r="D19" s="349">
        <v>42.9296607458</v>
      </c>
      <c r="G19" s="88">
        <v>6</v>
      </c>
      <c r="I19" s="23" t="s">
        <v>486</v>
      </c>
      <c r="J19" s="349">
        <v>42.9296607458</v>
      </c>
    </row>
    <row r="20" spans="2:15" ht="15" customHeight="1" x14ac:dyDescent="0.15">
      <c r="B20" s="2"/>
      <c r="C20" s="23" t="s">
        <v>54</v>
      </c>
      <c r="D20" s="349">
        <v>33.554232602070002</v>
      </c>
      <c r="G20" s="88">
        <v>7</v>
      </c>
      <c r="I20" s="23" t="s">
        <v>487</v>
      </c>
      <c r="J20" s="349">
        <v>33.554232602070002</v>
      </c>
      <c r="K20" s="6"/>
      <c r="L20" s="6"/>
      <c r="M20" s="6"/>
    </row>
    <row r="21" spans="2:15" ht="15" customHeight="1" x14ac:dyDescent="0.15">
      <c r="B21" s="2"/>
      <c r="C21" s="412" t="s">
        <v>55</v>
      </c>
      <c r="D21" s="413">
        <v>20.686583709979999</v>
      </c>
      <c r="G21" s="88">
        <v>8</v>
      </c>
      <c r="I21" s="23" t="s">
        <v>488</v>
      </c>
      <c r="J21" s="349">
        <v>20.686583709979999</v>
      </c>
    </row>
    <row r="22" spans="2:15" ht="15" customHeight="1" x14ac:dyDescent="0.15">
      <c r="B22" s="2"/>
      <c r="C22" s="23" t="s">
        <v>56</v>
      </c>
      <c r="D22" s="349">
        <v>55.98912418802</v>
      </c>
      <c r="G22" s="88">
        <v>9</v>
      </c>
      <c r="I22" s="23" t="s">
        <v>489</v>
      </c>
      <c r="J22" s="349">
        <v>55.98912418802</v>
      </c>
    </row>
    <row r="23" spans="2:15" ht="15" customHeight="1" x14ac:dyDescent="0.15">
      <c r="B23" s="2"/>
      <c r="C23" s="412" t="s">
        <v>74</v>
      </c>
      <c r="D23" s="413">
        <v>51.410205545249994</v>
      </c>
      <c r="G23" s="88">
        <v>10</v>
      </c>
      <c r="I23" s="23" t="s">
        <v>478</v>
      </c>
      <c r="J23" s="349">
        <v>51.410205545249994</v>
      </c>
    </row>
    <row r="24" spans="2:15" ht="15" customHeight="1" x14ac:dyDescent="0.15">
      <c r="B24" s="2"/>
      <c r="C24" s="23" t="s">
        <v>79</v>
      </c>
      <c r="D24" s="349">
        <v>58.118976761249996</v>
      </c>
      <c r="E24" s="7"/>
      <c r="G24" s="88">
        <v>11</v>
      </c>
      <c r="I24" s="23" t="s">
        <v>490</v>
      </c>
      <c r="J24" s="349">
        <v>58.118976761249996</v>
      </c>
    </row>
    <row r="25" spans="2:15" ht="15" customHeight="1" x14ac:dyDescent="0.15">
      <c r="B25" s="2"/>
      <c r="C25" s="23" t="s">
        <v>72</v>
      </c>
      <c r="D25" s="349">
        <v>5.7089162309999997E-2</v>
      </c>
      <c r="E25" s="7"/>
      <c r="G25" s="88">
        <v>12</v>
      </c>
      <c r="I25" s="23" t="s">
        <v>491</v>
      </c>
      <c r="J25" s="349">
        <v>5.7089162309999997E-2</v>
      </c>
    </row>
    <row r="26" spans="2:15" ht="15" customHeight="1" x14ac:dyDescent="0.15">
      <c r="B26" s="2"/>
      <c r="C26" s="23" t="s">
        <v>426</v>
      </c>
      <c r="D26" s="349">
        <v>0.60225509025000001</v>
      </c>
      <c r="E26" s="107"/>
      <c r="G26" s="88">
        <v>13</v>
      </c>
      <c r="I26" s="23" t="s">
        <v>493</v>
      </c>
      <c r="J26" s="349">
        <v>0.60225509025000001</v>
      </c>
    </row>
    <row r="27" spans="2:15" ht="15" customHeight="1" x14ac:dyDescent="0.15">
      <c r="B27" s="2"/>
      <c r="C27" s="412" t="s">
        <v>73</v>
      </c>
      <c r="D27" s="413">
        <v>15.941260209899999</v>
      </c>
      <c r="E27" s="107"/>
      <c r="G27" s="88">
        <v>14</v>
      </c>
      <c r="I27" s="23" t="s">
        <v>494</v>
      </c>
      <c r="J27" s="349">
        <v>15.941260209899999</v>
      </c>
    </row>
    <row r="28" spans="2:15" ht="15" customHeight="1" x14ac:dyDescent="0.15">
      <c r="B28" s="2"/>
      <c r="C28" s="23" t="s">
        <v>427</v>
      </c>
      <c r="D28" s="349">
        <v>2.20918452E-3</v>
      </c>
      <c r="E28" s="107"/>
      <c r="G28" s="88">
        <v>15</v>
      </c>
      <c r="I28" s="23" t="s">
        <v>479</v>
      </c>
      <c r="J28" s="349">
        <v>2.20918452E-3</v>
      </c>
    </row>
    <row r="29" spans="2:15" ht="15" customHeight="1" x14ac:dyDescent="0.15">
      <c r="B29" s="2"/>
      <c r="C29" s="23" t="s">
        <v>428</v>
      </c>
      <c r="D29" s="349">
        <v>0.74432545942999995</v>
      </c>
      <c r="E29" s="107"/>
      <c r="G29" s="88">
        <v>16</v>
      </c>
      <c r="I29" s="23" t="s">
        <v>495</v>
      </c>
      <c r="J29" s="349">
        <v>0.74432545942999995</v>
      </c>
      <c r="O29" s="7"/>
    </row>
    <row r="30" spans="2:15" ht="15" customHeight="1" x14ac:dyDescent="0.15">
      <c r="B30" s="2"/>
      <c r="C30" s="23" t="s">
        <v>429</v>
      </c>
      <c r="D30" s="349">
        <v>5.4136264679999997E-2</v>
      </c>
      <c r="E30" s="107"/>
      <c r="G30" s="88">
        <v>17</v>
      </c>
      <c r="I30" s="23" t="s">
        <v>496</v>
      </c>
      <c r="J30" s="349">
        <v>5.4136264679999997E-2</v>
      </c>
      <c r="O30" s="7"/>
    </row>
    <row r="31" spans="2:15" ht="15" customHeight="1" x14ac:dyDescent="0.15">
      <c r="B31" s="2"/>
      <c r="C31" s="23" t="s">
        <v>430</v>
      </c>
      <c r="D31" s="349">
        <v>0.33192735312999999</v>
      </c>
      <c r="E31" s="107"/>
      <c r="G31" s="88">
        <v>18</v>
      </c>
      <c r="I31" s="23" t="s">
        <v>497</v>
      </c>
      <c r="J31" s="349">
        <v>0.33192735312999999</v>
      </c>
      <c r="O31" s="7"/>
    </row>
    <row r="32" spans="2:15" ht="15" customHeight="1" x14ac:dyDescent="0.15">
      <c r="B32" s="2"/>
      <c r="C32" s="23" t="s">
        <v>76</v>
      </c>
      <c r="D32" s="349">
        <v>0.28967155945</v>
      </c>
      <c r="E32" s="107"/>
      <c r="G32" s="88">
        <v>19</v>
      </c>
      <c r="I32" s="23" t="s">
        <v>480</v>
      </c>
      <c r="J32" s="349">
        <v>0.28967155945</v>
      </c>
      <c r="O32" s="7"/>
    </row>
    <row r="33" spans="2:15" ht="15" customHeight="1" x14ac:dyDescent="0.15">
      <c r="B33" s="2"/>
      <c r="C33" s="23" t="s">
        <v>431</v>
      </c>
      <c r="D33" s="349">
        <v>0.71894651797999998</v>
      </c>
      <c r="E33" s="107"/>
      <c r="G33" s="88">
        <v>20</v>
      </c>
      <c r="I33" s="23" t="s">
        <v>498</v>
      </c>
      <c r="J33" s="349">
        <v>0.71894651797999998</v>
      </c>
      <c r="O33" s="7"/>
    </row>
    <row r="34" spans="2:15" ht="15" customHeight="1" x14ac:dyDescent="0.15">
      <c r="B34" s="2"/>
      <c r="C34" s="23" t="s">
        <v>77</v>
      </c>
      <c r="D34" s="349">
        <v>9.9999999999999995E-7</v>
      </c>
      <c r="E34" s="107"/>
      <c r="G34" s="88">
        <v>21</v>
      </c>
      <c r="I34" s="23" t="s">
        <v>499</v>
      </c>
      <c r="J34" s="349">
        <v>9.9999999999999995E-7</v>
      </c>
      <c r="O34" s="7"/>
    </row>
    <row r="35" spans="2:15" ht="15" customHeight="1" x14ac:dyDescent="0.15">
      <c r="B35" s="2"/>
      <c r="C35" s="23" t="s">
        <v>78</v>
      </c>
      <c r="D35" s="349">
        <v>1.6089514678399999</v>
      </c>
      <c r="E35" s="107"/>
      <c r="G35" s="88">
        <v>22</v>
      </c>
      <c r="I35" s="23" t="s">
        <v>500</v>
      </c>
      <c r="J35" s="349">
        <v>1.6089514678399999</v>
      </c>
      <c r="O35" s="7"/>
    </row>
    <row r="36" spans="2:15" ht="15" customHeight="1" x14ac:dyDescent="0.15">
      <c r="B36" s="2"/>
      <c r="C36" s="412" t="s">
        <v>75</v>
      </c>
      <c r="D36" s="413">
        <v>8.0312290393399994</v>
      </c>
      <c r="E36" s="107"/>
      <c r="G36" s="88">
        <v>23</v>
      </c>
      <c r="I36" s="23" t="s">
        <v>502</v>
      </c>
      <c r="J36" s="349">
        <v>8.0312290393399994</v>
      </c>
      <c r="O36" s="7"/>
    </row>
    <row r="37" spans="2:15" ht="15" customHeight="1" thickBot="1" x14ac:dyDescent="0.2">
      <c r="B37" s="347"/>
      <c r="C37" s="192" t="s">
        <v>433</v>
      </c>
      <c r="D37" s="362">
        <v>3.3976978681699999</v>
      </c>
      <c r="E37" s="107"/>
      <c r="G37" s="88"/>
      <c r="I37" s="192" t="s">
        <v>501</v>
      </c>
      <c r="J37" s="362">
        <v>3.3976978681699999</v>
      </c>
      <c r="O37" s="7"/>
    </row>
    <row r="38" spans="2:15" ht="15" customHeight="1" thickBot="1" x14ac:dyDescent="0.2">
      <c r="B38" s="347"/>
      <c r="C38" s="350" t="s">
        <v>422</v>
      </c>
      <c r="D38" s="351">
        <v>632.17126270037988</v>
      </c>
      <c r="E38" s="107"/>
      <c r="G38" s="88"/>
      <c r="I38" s="409" t="s">
        <v>482</v>
      </c>
      <c r="J38" s="351">
        <v>632.17126270037988</v>
      </c>
      <c r="O38" s="7"/>
    </row>
    <row r="39" spans="2:15" ht="14" customHeight="1" x14ac:dyDescent="0.15">
      <c r="B39" s="2"/>
      <c r="D39" s="7"/>
      <c r="E39" s="7"/>
      <c r="G39" s="22"/>
      <c r="O39" s="7"/>
    </row>
    <row r="40" spans="2:15" ht="14" thickBot="1" x14ac:dyDescent="0.2">
      <c r="B40" s="28"/>
      <c r="C40" s="13"/>
      <c r="D40" s="13"/>
      <c r="E40" s="13"/>
      <c r="F40" s="13"/>
      <c r="G40" s="27"/>
    </row>
    <row r="41" spans="2:15" x14ac:dyDescent="0.15">
      <c r="D41" s="1">
        <f>D16*1000</f>
        <v>44129.219012889997</v>
      </c>
    </row>
    <row r="42" spans="2:15" x14ac:dyDescent="0.15">
      <c r="D42" s="178">
        <f>(D23+D27+D36)*1000</f>
        <v>75382.694794489988</v>
      </c>
    </row>
    <row r="45" spans="2:15" x14ac:dyDescent="0.15">
      <c r="E45" s="1" t="s">
        <v>518</v>
      </c>
    </row>
    <row r="46" spans="2:15" x14ac:dyDescent="0.15">
      <c r="D46" s="1">
        <v>2007</v>
      </c>
      <c r="E46" s="177">
        <f>[4]P14_P15_T9!$H$41</f>
        <v>2.3163351717267727E-2</v>
      </c>
    </row>
    <row r="47" spans="2:15" x14ac:dyDescent="0.15">
      <c r="D47" s="1">
        <v>2008</v>
      </c>
      <c r="E47" s="177">
        <f>[5]P14_P15_T9!$H$41</f>
        <v>3.8093030937236767E-2</v>
      </c>
    </row>
    <row r="48" spans="2:15" x14ac:dyDescent="0.15">
      <c r="D48" s="1">
        <v>2009</v>
      </c>
      <c r="E48" s="177">
        <f>[6]P14_P15_T9!$H$41</f>
        <v>3.4571886887433567E-2</v>
      </c>
    </row>
    <row r="49" spans="4:5" x14ac:dyDescent="0.15">
      <c r="D49" s="1">
        <v>2010</v>
      </c>
      <c r="E49" s="177">
        <f>[7]P14_P15_T9!$I$41</f>
        <v>4.1419240436250601E-2</v>
      </c>
    </row>
    <row r="50" spans="4:5" x14ac:dyDescent="0.15">
      <c r="D50" s="1">
        <v>2011</v>
      </c>
      <c r="E50" s="177">
        <f>[8]P14_P15_T9!$I$41</f>
        <v>3.9531216159877654E-2</v>
      </c>
    </row>
    <row r="51" spans="4:5" x14ac:dyDescent="0.15">
      <c r="D51" s="1">
        <v>2012</v>
      </c>
      <c r="E51" s="177">
        <f>[9]P14_P15_T9!$H$42</f>
        <v>3.5750527197558481E-2</v>
      </c>
    </row>
    <row r="52" spans="4:5" x14ac:dyDescent="0.15">
      <c r="D52" s="1">
        <v>2013</v>
      </c>
      <c r="E52" s="177">
        <f>P14_P15_T9!H40</f>
        <v>3.5345501585889276E-2</v>
      </c>
    </row>
    <row r="53" spans="4:5" x14ac:dyDescent="0.15">
      <c r="D53" s="1" t="s">
        <v>516</v>
      </c>
      <c r="E53" s="118">
        <f>AVERAGE(E46:E52)</f>
        <v>3.5410679274502012E-2</v>
      </c>
    </row>
  </sheetData>
  <sheetProtection selectLockedCells="1" selectUnlockedCells="1"/>
  <conditionalFormatting sqref="D25:D37">
    <cfRule type="cellIs" dxfId="14" priority="5" operator="equal">
      <formula>0</formula>
    </cfRule>
  </conditionalFormatting>
  <conditionalFormatting sqref="C25:D37">
    <cfRule type="cellIs" dxfId="13" priority="3" operator="equal">
      <formula>0</formula>
    </cfRule>
  </conditionalFormatting>
  <conditionalFormatting sqref="J25:J37">
    <cfRule type="cellIs" dxfId="12" priority="2" operator="equal">
      <formula>0</formula>
    </cfRule>
  </conditionalFormatting>
  <conditionalFormatting sqref="I25:J37">
    <cfRule type="cellIs" dxfId="11" priority="1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95" firstPageNumber="0" orientation="landscape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17">
    <pageSetUpPr fitToPage="1"/>
  </sheetPr>
  <dimension ref="B3:L43"/>
  <sheetViews>
    <sheetView showGridLines="0" topLeftCell="A4" zoomScale="150" zoomScaleNormal="150" zoomScalePageLayoutView="150" workbookViewId="0">
      <selection activeCell="H13" sqref="H13"/>
    </sheetView>
  </sheetViews>
  <sheetFormatPr baseColWidth="10" defaultColWidth="8.83203125" defaultRowHeight="13" x14ac:dyDescent="0.15"/>
  <cols>
    <col min="1" max="1" width="3.33203125" style="1" customWidth="1"/>
    <col min="2" max="2" width="5.6640625" style="1" customWidth="1"/>
    <col min="3" max="3" width="60.33203125" style="1" customWidth="1"/>
    <col min="4" max="4" width="9.83203125" style="1" customWidth="1"/>
    <col min="5" max="5" width="7.1640625" style="1" customWidth="1"/>
    <col min="6" max="6" width="7" style="1" customWidth="1"/>
    <col min="7" max="7" width="10.5" style="1" customWidth="1"/>
    <col min="8" max="8" width="27.6640625" style="1" customWidth="1"/>
    <col min="9" max="9" width="9.5" style="1" bestFit="1" customWidth="1"/>
    <col min="10" max="10" width="8.83203125" style="1"/>
    <col min="11" max="11" width="5.33203125" style="1" customWidth="1"/>
    <col min="12" max="16384" width="8.83203125" style="1"/>
  </cols>
  <sheetData>
    <row r="3" spans="2:11" ht="14" thickBot="1" x14ac:dyDescent="0.2"/>
    <row r="4" spans="2:11" ht="13" customHeight="1" x14ac:dyDescent="0.15">
      <c r="B4" s="69"/>
      <c r="C4" s="70"/>
      <c r="D4" s="70"/>
      <c r="E4" s="70"/>
      <c r="F4" s="155"/>
      <c r="G4" s="70"/>
      <c r="H4" s="70"/>
      <c r="I4" s="70"/>
      <c r="J4" s="70"/>
      <c r="K4" s="82"/>
    </row>
    <row r="5" spans="2:11" ht="13" customHeight="1" x14ac:dyDescent="0.15">
      <c r="B5" s="72"/>
      <c r="C5" s="73"/>
      <c r="D5" s="104"/>
      <c r="E5" s="104"/>
      <c r="F5" s="104"/>
      <c r="G5" s="74"/>
      <c r="H5" s="73"/>
      <c r="I5" s="73"/>
      <c r="J5" s="103" t="s">
        <v>441</v>
      </c>
      <c r="K5" s="75"/>
    </row>
    <row r="6" spans="2:11" ht="13" customHeight="1" x14ac:dyDescent="0.15">
      <c r="B6" s="72"/>
      <c r="C6" s="73"/>
      <c r="D6" s="73"/>
      <c r="E6" s="73"/>
      <c r="F6" s="73"/>
      <c r="G6" s="73"/>
      <c r="H6" s="73"/>
      <c r="I6" s="73"/>
      <c r="J6" s="73"/>
      <c r="K6" s="75"/>
    </row>
    <row r="7" spans="2:11" ht="13" customHeight="1" x14ac:dyDescent="0.15">
      <c r="B7" s="72"/>
      <c r="C7" s="77" t="s">
        <v>438</v>
      </c>
      <c r="D7" s="92"/>
      <c r="E7" s="92"/>
      <c r="F7" s="92"/>
      <c r="G7" s="92"/>
      <c r="H7" s="92"/>
      <c r="I7" s="92"/>
      <c r="J7" s="92"/>
      <c r="K7" s="75"/>
    </row>
    <row r="8" spans="2:11" ht="13" customHeight="1" x14ac:dyDescent="0.15">
      <c r="B8" s="72"/>
      <c r="C8" s="77"/>
      <c r="D8" s="92"/>
      <c r="E8" s="92"/>
      <c r="F8" s="92"/>
      <c r="G8" s="92"/>
      <c r="H8" s="92"/>
      <c r="I8" s="92"/>
      <c r="J8" s="92"/>
      <c r="K8" s="75"/>
    </row>
    <row r="9" spans="2:11" ht="15" customHeight="1" x14ac:dyDescent="0.15">
      <c r="B9" s="2"/>
      <c r="K9" s="22"/>
    </row>
    <row r="10" spans="2:11" ht="15" customHeight="1" x14ac:dyDescent="0.15">
      <c r="B10" s="2"/>
      <c r="C10" s="12" t="s">
        <v>414</v>
      </c>
      <c r="D10" s="12"/>
      <c r="E10" s="12"/>
      <c r="F10" s="12"/>
      <c r="G10" s="12"/>
      <c r="H10" s="12"/>
      <c r="I10" s="12"/>
      <c r="J10" s="12"/>
      <c r="K10" s="22"/>
    </row>
    <row r="11" spans="2:11" ht="15" customHeight="1" thickBot="1" x14ac:dyDescent="0.2">
      <c r="B11" s="2"/>
      <c r="D11" s="8"/>
      <c r="F11" s="8" t="s">
        <v>39</v>
      </c>
      <c r="J11" s="8"/>
      <c r="K11" s="22"/>
    </row>
    <row r="12" spans="2:11" ht="25.5" customHeight="1" thickBot="1" x14ac:dyDescent="0.2">
      <c r="B12" s="2"/>
      <c r="C12" s="55" t="s">
        <v>45</v>
      </c>
      <c r="D12" s="58" t="s">
        <v>42</v>
      </c>
      <c r="E12" s="58" t="s">
        <v>43</v>
      </c>
      <c r="F12" s="58" t="s">
        <v>359</v>
      </c>
      <c r="H12" s="158"/>
      <c r="I12" s="158"/>
      <c r="J12" s="158"/>
      <c r="K12" s="22"/>
    </row>
    <row r="13" spans="2:11" ht="15" customHeight="1" x14ac:dyDescent="0.15">
      <c r="B13" s="2"/>
      <c r="C13" s="342" t="s">
        <v>300</v>
      </c>
      <c r="D13" s="343">
        <v>858.46320790535003</v>
      </c>
      <c r="E13" s="359">
        <v>0.14736376771408144</v>
      </c>
      <c r="F13" s="359">
        <v>0.14736376771408144</v>
      </c>
      <c r="G13" s="421">
        <f>(D15+D17+D19+D20+D21+D23+D24+D26+D27+D28+D31+D32+D33+D36)*1000</f>
        <v>2560027.1210099296</v>
      </c>
      <c r="H13" s="159">
        <f>(D13+D14+D29)/(D18+D22+D30+D34+D35+0.3*D37)</f>
        <v>2.1392187591112171</v>
      </c>
      <c r="I13" s="160"/>
      <c r="J13" s="161"/>
      <c r="K13" s="88"/>
    </row>
    <row r="14" spans="2:11" ht="15" customHeight="1" x14ac:dyDescent="0.15">
      <c r="B14" s="2"/>
      <c r="C14" s="37" t="s">
        <v>299</v>
      </c>
      <c r="D14" s="344">
        <v>710.04061243947001</v>
      </c>
      <c r="E14" s="360">
        <v>0.12188554956758338</v>
      </c>
      <c r="F14" s="360">
        <v>0.26924931728166479</v>
      </c>
      <c r="G14" s="465"/>
      <c r="H14" s="159"/>
      <c r="I14" s="160"/>
      <c r="J14" s="162"/>
      <c r="K14" s="88"/>
    </row>
    <row r="15" spans="2:11" ht="15" customHeight="1" x14ac:dyDescent="0.15">
      <c r="B15" s="2"/>
      <c r="C15" s="37" t="s">
        <v>298</v>
      </c>
      <c r="D15" s="344">
        <v>519.54368060710999</v>
      </c>
      <c r="E15" s="360">
        <v>8.9184852141906135E-2</v>
      </c>
      <c r="F15" s="360">
        <v>0.35843416942357093</v>
      </c>
      <c r="G15" s="108">
        <v>2</v>
      </c>
      <c r="H15" s="159"/>
      <c r="I15" s="160"/>
      <c r="J15" s="162"/>
      <c r="K15" s="88"/>
    </row>
    <row r="16" spans="2:11" ht="15" customHeight="1" x14ac:dyDescent="0.15">
      <c r="B16" s="2"/>
      <c r="C16" s="37" t="s">
        <v>297</v>
      </c>
      <c r="D16" s="344">
        <v>447.51374688492001</v>
      </c>
      <c r="E16" s="360">
        <v>7.6820195947266051E-2</v>
      </c>
      <c r="F16" s="360">
        <v>0.43525436537083695</v>
      </c>
      <c r="G16" s="108">
        <v>3</v>
      </c>
      <c r="H16" s="159"/>
      <c r="I16" s="160"/>
      <c r="J16" s="162"/>
      <c r="K16" s="88"/>
    </row>
    <row r="17" spans="2:12" ht="15" customHeight="1" x14ac:dyDescent="0.15">
      <c r="B17" s="2"/>
      <c r="C17" s="37" t="s">
        <v>296</v>
      </c>
      <c r="D17" s="344">
        <v>355.73499679510996</v>
      </c>
      <c r="E17" s="360">
        <v>6.1065458545852942E-2</v>
      </c>
      <c r="F17" s="360">
        <v>0.49631982391668988</v>
      </c>
      <c r="G17" s="108">
        <v>4</v>
      </c>
      <c r="H17" s="159"/>
      <c r="I17" s="160"/>
      <c r="J17" s="162"/>
      <c r="K17" s="88"/>
    </row>
    <row r="18" spans="2:12" ht="15" customHeight="1" x14ac:dyDescent="0.15">
      <c r="B18" s="2"/>
      <c r="C18" s="37" t="s">
        <v>295</v>
      </c>
      <c r="D18" s="344">
        <v>283.37149103513002</v>
      </c>
      <c r="E18" s="360">
        <v>4.8643541385524257E-2</v>
      </c>
      <c r="F18" s="360">
        <v>0.54496336530221412</v>
      </c>
      <c r="G18" s="108">
        <v>5</v>
      </c>
      <c r="H18" s="159"/>
      <c r="I18" s="160"/>
      <c r="J18" s="162"/>
      <c r="K18" s="88"/>
    </row>
    <row r="19" spans="2:12" ht="15" customHeight="1" x14ac:dyDescent="0.15">
      <c r="B19" s="2"/>
      <c r="C19" s="37" t="s">
        <v>294</v>
      </c>
      <c r="D19" s="344">
        <v>282.44495081615003</v>
      </c>
      <c r="E19" s="360">
        <v>4.848449152019494E-2</v>
      </c>
      <c r="F19" s="360">
        <v>0.59344785682240908</v>
      </c>
      <c r="G19" s="108">
        <v>6</v>
      </c>
      <c r="H19" s="159"/>
      <c r="I19" s="160"/>
      <c r="J19" s="162"/>
      <c r="K19" s="88"/>
    </row>
    <row r="20" spans="2:12" ht="15" customHeight="1" x14ac:dyDescent="0.15">
      <c r="B20" s="2"/>
      <c r="C20" s="37" t="s">
        <v>293</v>
      </c>
      <c r="D20" s="344">
        <v>279.43746608756999</v>
      </c>
      <c r="E20" s="360">
        <v>4.7968226784717793E-2</v>
      </c>
      <c r="F20" s="360">
        <v>0.64141608360712687</v>
      </c>
      <c r="G20" s="108">
        <v>7</v>
      </c>
      <c r="H20" s="159"/>
      <c r="I20" s="160"/>
      <c r="J20" s="162"/>
      <c r="K20" s="88"/>
    </row>
    <row r="21" spans="2:12" ht="15" customHeight="1" x14ac:dyDescent="0.15">
      <c r="B21" s="2"/>
      <c r="C21" s="37" t="s">
        <v>302</v>
      </c>
      <c r="D21" s="344">
        <v>209.00586410911998</v>
      </c>
      <c r="E21" s="360">
        <v>3.5877940167766714E-2</v>
      </c>
      <c r="F21" s="360">
        <v>0.67729402377489356</v>
      </c>
      <c r="G21" s="108">
        <v>8</v>
      </c>
      <c r="H21" s="159"/>
      <c r="I21" s="160"/>
      <c r="J21" s="162"/>
      <c r="K21" s="88"/>
      <c r="L21" s="1">
        <v>5825.47</v>
      </c>
    </row>
    <row r="22" spans="2:12" ht="15" customHeight="1" x14ac:dyDescent="0.15">
      <c r="B22" s="2"/>
      <c r="C22" s="37" t="s">
        <v>292</v>
      </c>
      <c r="D22" s="344">
        <v>198.49820062799</v>
      </c>
      <c r="E22" s="360">
        <v>3.407419497963083E-2</v>
      </c>
      <c r="F22" s="360">
        <v>0.71136821875452438</v>
      </c>
      <c r="G22" s="108">
        <v>9</v>
      </c>
      <c r="H22" s="159"/>
      <c r="I22" s="160"/>
      <c r="J22" s="162"/>
      <c r="K22" s="88"/>
    </row>
    <row r="23" spans="2:12" ht="15" customHeight="1" x14ac:dyDescent="0.15">
      <c r="B23" s="2"/>
      <c r="C23" s="37" t="s">
        <v>291</v>
      </c>
      <c r="D23" s="344">
        <v>183.57051566459</v>
      </c>
      <c r="E23" s="360">
        <v>3.151170904057355E-2</v>
      </c>
      <c r="F23" s="360">
        <v>0.74287992779509793</v>
      </c>
      <c r="G23" s="108">
        <v>10</v>
      </c>
      <c r="H23" s="159"/>
      <c r="I23" s="160"/>
      <c r="J23" s="162"/>
      <c r="K23" s="88"/>
    </row>
    <row r="24" spans="2:12" ht="15" customHeight="1" x14ac:dyDescent="0.15">
      <c r="B24" s="2"/>
      <c r="C24" s="37" t="s">
        <v>290</v>
      </c>
      <c r="D24" s="344">
        <v>160.84598426451001</v>
      </c>
      <c r="E24" s="360">
        <v>2.7610816683376619E-2</v>
      </c>
      <c r="F24" s="360">
        <v>0.77049074447847454</v>
      </c>
      <c r="G24" s="108">
        <v>11</v>
      </c>
      <c r="H24" s="159"/>
      <c r="I24" s="160"/>
      <c r="J24" s="162"/>
      <c r="K24" s="88"/>
    </row>
    <row r="25" spans="2:12" ht="15" customHeight="1" x14ac:dyDescent="0.15">
      <c r="B25" s="2"/>
      <c r="C25" s="37" t="s">
        <v>48</v>
      </c>
      <c r="D25" s="344">
        <v>146.16567787485999</v>
      </c>
      <c r="E25" s="360">
        <v>2.5090795742637072E-2</v>
      </c>
      <c r="F25" s="360">
        <v>0.7955815402211116</v>
      </c>
      <c r="G25" s="108">
        <v>12</v>
      </c>
      <c r="H25" s="159"/>
      <c r="I25" s="160"/>
      <c r="J25" s="162"/>
      <c r="K25" s="88"/>
    </row>
    <row r="26" spans="2:12" ht="15" customHeight="1" x14ac:dyDescent="0.15">
      <c r="B26" s="2"/>
      <c r="C26" s="37" t="s">
        <v>289</v>
      </c>
      <c r="D26" s="344">
        <v>136.53503902686998</v>
      </c>
      <c r="E26" s="360">
        <v>2.3437600575896875E-2</v>
      </c>
      <c r="F26" s="360">
        <v>0.81901914079700844</v>
      </c>
      <c r="G26" s="108">
        <v>13</v>
      </c>
      <c r="H26" s="159"/>
      <c r="I26" s="160"/>
      <c r="J26" s="162"/>
      <c r="K26" s="88"/>
    </row>
    <row r="27" spans="2:12" ht="15" customHeight="1" x14ac:dyDescent="0.15">
      <c r="B27" s="2"/>
      <c r="C27" s="37" t="s">
        <v>288</v>
      </c>
      <c r="D27" s="344">
        <v>125.10215474189</v>
      </c>
      <c r="E27" s="360">
        <v>2.1475032013192067E-2</v>
      </c>
      <c r="F27" s="360">
        <v>0.84049417281020056</v>
      </c>
      <c r="G27" s="108">
        <v>14</v>
      </c>
      <c r="H27" s="159"/>
      <c r="I27" s="160"/>
      <c r="J27" s="162"/>
      <c r="K27" s="88"/>
    </row>
    <row r="28" spans="2:12" ht="15" customHeight="1" x14ac:dyDescent="0.15">
      <c r="B28" s="2"/>
      <c r="C28" s="37" t="s">
        <v>287</v>
      </c>
      <c r="D28" s="344">
        <v>88.588925082899991</v>
      </c>
      <c r="E28" s="360">
        <v>1.5207172139398192E-2</v>
      </c>
      <c r="F28" s="360">
        <v>0.85570134494959871</v>
      </c>
      <c r="G28" s="108">
        <v>15</v>
      </c>
      <c r="H28" s="159"/>
      <c r="I28" s="160"/>
      <c r="J28" s="162"/>
      <c r="K28" s="88"/>
    </row>
    <row r="29" spans="2:12" ht="15" customHeight="1" x14ac:dyDescent="0.15">
      <c r="B29" s="2"/>
      <c r="C29" s="37" t="s">
        <v>286</v>
      </c>
      <c r="D29" s="344">
        <v>69.676388792320012</v>
      </c>
      <c r="E29" s="360">
        <v>1.1960646744781108E-2</v>
      </c>
      <c r="F29" s="360">
        <v>0.86766199169437985</v>
      </c>
      <c r="G29" s="108">
        <v>16</v>
      </c>
      <c r="H29" s="159"/>
      <c r="I29" s="160"/>
      <c r="J29" s="162"/>
      <c r="K29" s="88"/>
    </row>
    <row r="30" spans="2:12" ht="15" customHeight="1" x14ac:dyDescent="0.15">
      <c r="B30" s="2"/>
      <c r="C30" s="37" t="s">
        <v>285</v>
      </c>
      <c r="D30" s="344">
        <v>68.730601539329996</v>
      </c>
      <c r="E30" s="360">
        <v>1.1798292934189001E-2</v>
      </c>
      <c r="F30" s="360">
        <v>0.87946028462856884</v>
      </c>
      <c r="G30" s="108">
        <v>17</v>
      </c>
      <c r="H30" s="159"/>
      <c r="I30" s="160"/>
      <c r="J30" s="162"/>
      <c r="K30" s="88"/>
    </row>
    <row r="31" spans="2:12" ht="15" customHeight="1" x14ac:dyDescent="0.15">
      <c r="B31" s="2"/>
      <c r="C31" s="37" t="s">
        <v>301</v>
      </c>
      <c r="D31" s="344">
        <v>66.735014327459993</v>
      </c>
      <c r="E31" s="360">
        <v>1.1455730495129147E-2</v>
      </c>
      <c r="F31" s="360">
        <v>0.890916015123698</v>
      </c>
      <c r="G31" s="108">
        <v>18</v>
      </c>
      <c r="H31" s="159"/>
      <c r="I31" s="160"/>
      <c r="J31" s="162"/>
      <c r="K31" s="88"/>
    </row>
    <row r="32" spans="2:12" ht="15" customHeight="1" x14ac:dyDescent="0.15">
      <c r="B32" s="2"/>
      <c r="C32" s="37" t="s">
        <v>284</v>
      </c>
      <c r="D32" s="344">
        <v>57.004281024309996</v>
      </c>
      <c r="E32" s="360">
        <v>9.785353117312422E-3</v>
      </c>
      <c r="F32" s="360">
        <v>0.90070136824101044</v>
      </c>
      <c r="G32" s="108">
        <v>19</v>
      </c>
      <c r="H32" s="159"/>
      <c r="I32" s="160"/>
      <c r="J32" s="162"/>
      <c r="K32" s="88"/>
    </row>
    <row r="33" spans="2:11" ht="15" customHeight="1" x14ac:dyDescent="0.15">
      <c r="B33" s="2"/>
      <c r="C33" s="37" t="s">
        <v>283</v>
      </c>
      <c r="D33" s="344">
        <v>52.920838402769995</v>
      </c>
      <c r="E33" s="360">
        <v>9.0843894832125117E-3</v>
      </c>
      <c r="F33" s="360">
        <v>0.90978575772422299</v>
      </c>
      <c r="G33" s="108">
        <v>20</v>
      </c>
      <c r="H33" s="159"/>
      <c r="I33" s="160"/>
      <c r="J33" s="162"/>
      <c r="K33" s="88"/>
    </row>
    <row r="34" spans="2:11" ht="15" customHeight="1" x14ac:dyDescent="0.15">
      <c r="B34" s="2"/>
      <c r="C34" s="37" t="s">
        <v>282</v>
      </c>
      <c r="D34" s="344">
        <v>50.451516170540003</v>
      </c>
      <c r="E34" s="360">
        <v>8.6605057052117681E-3</v>
      </c>
      <c r="F34" s="360">
        <v>0.91844626342943481</v>
      </c>
      <c r="G34" s="108">
        <v>21</v>
      </c>
      <c r="H34" s="159"/>
      <c r="I34" s="160"/>
      <c r="J34" s="162"/>
      <c r="K34" s="88"/>
    </row>
    <row r="35" spans="2:11" ht="15" customHeight="1" x14ac:dyDescent="0.15">
      <c r="B35" s="2"/>
      <c r="C35" s="37" t="s">
        <v>281</v>
      </c>
      <c r="D35" s="344">
        <v>49.96156033311</v>
      </c>
      <c r="E35" s="360">
        <v>8.5763999013144E-3</v>
      </c>
      <c r="F35" s="360">
        <v>0.92702266333074923</v>
      </c>
      <c r="G35" s="108">
        <v>22</v>
      </c>
      <c r="H35" s="159"/>
      <c r="I35" s="160"/>
      <c r="J35" s="162"/>
      <c r="K35" s="88"/>
    </row>
    <row r="36" spans="2:11" ht="15" customHeight="1" x14ac:dyDescent="0.15">
      <c r="B36" s="2"/>
      <c r="C36" s="37" t="s">
        <v>280</v>
      </c>
      <c r="D36" s="344">
        <v>42.557410059570003</v>
      </c>
      <c r="E36" s="360">
        <v>7.3054036943920406E-3</v>
      </c>
      <c r="F36" s="360">
        <v>0.93432806702514126</v>
      </c>
      <c r="G36" s="108">
        <v>23</v>
      </c>
      <c r="H36" s="159"/>
      <c r="I36" s="160"/>
      <c r="J36" s="162"/>
      <c r="K36" s="88"/>
    </row>
    <row r="37" spans="2:11" ht="15" customHeight="1" thickBot="1" x14ac:dyDescent="0.2">
      <c r="B37" s="2"/>
      <c r="C37" s="358" t="s">
        <v>435</v>
      </c>
      <c r="D37" s="345">
        <v>382.56987538704885</v>
      </c>
      <c r="E37" s="361">
        <v>6.5671932974858488E-2</v>
      </c>
      <c r="F37" s="361">
        <v>0.99999999999999978</v>
      </c>
      <c r="G37" s="108"/>
      <c r="H37" s="159"/>
      <c r="I37" s="160"/>
      <c r="J37" s="162"/>
      <c r="K37" s="88"/>
    </row>
    <row r="38" spans="2:11" ht="14" thickBot="1" x14ac:dyDescent="0.2">
      <c r="B38" s="2"/>
      <c r="C38" s="368" t="s">
        <v>423</v>
      </c>
      <c r="D38" s="346">
        <v>5825.47</v>
      </c>
      <c r="E38" s="341"/>
      <c r="F38" s="341"/>
      <c r="H38" s="159"/>
      <c r="I38" s="160"/>
      <c r="J38" s="162"/>
      <c r="K38" s="88"/>
    </row>
    <row r="39" spans="2:11" x14ac:dyDescent="0.15">
      <c r="B39" s="2"/>
      <c r="C39" s="52"/>
      <c r="D39" s="39"/>
      <c r="H39" s="159"/>
      <c r="I39" s="160"/>
      <c r="J39" s="162"/>
      <c r="K39" s="88"/>
    </row>
    <row r="40" spans="2:11" ht="14" thickBot="1" x14ac:dyDescent="0.2">
      <c r="B40" s="4"/>
      <c r="C40" s="13"/>
      <c r="D40" s="13"/>
      <c r="E40" s="13"/>
      <c r="F40" s="13"/>
      <c r="G40" s="13"/>
      <c r="H40" s="13"/>
      <c r="I40" s="51"/>
      <c r="J40" s="35"/>
      <c r="K40" s="27"/>
    </row>
    <row r="41" spans="2:11" x14ac:dyDescent="0.15">
      <c r="I41" s="10"/>
      <c r="J41" s="3"/>
    </row>
    <row r="42" spans="2:11" x14ac:dyDescent="0.15">
      <c r="I42" s="112"/>
    </row>
    <row r="43" spans="2:11" x14ac:dyDescent="0.15">
      <c r="I43" s="111"/>
    </row>
  </sheetData>
  <sheetProtection selectLockedCells="1" selectUnlockedCells="1"/>
  <phoneticPr fontId="14" type="noConversion"/>
  <conditionalFormatting sqref="H39:J39">
    <cfRule type="cellIs" dxfId="10" priority="14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91" firstPageNumber="0" orientation="landscape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18"/>
  <dimension ref="B3:J38"/>
  <sheetViews>
    <sheetView showGridLines="0" topLeftCell="A5" workbookViewId="0">
      <selection sqref="A1:XFD1048576"/>
    </sheetView>
  </sheetViews>
  <sheetFormatPr baseColWidth="10" defaultColWidth="8.83203125" defaultRowHeight="13" x14ac:dyDescent="0.15"/>
  <cols>
    <col min="1" max="1" width="3.33203125" style="1" customWidth="1"/>
    <col min="2" max="2" width="5.6640625" style="1" customWidth="1"/>
    <col min="3" max="3" width="48.6640625" style="1" customWidth="1"/>
    <col min="4" max="4" width="10.1640625" style="1" customWidth="1"/>
    <col min="5" max="6" width="9.6640625" style="1" customWidth="1"/>
    <col min="7" max="7" width="10.5" style="1" customWidth="1"/>
    <col min="8" max="8" width="17.5" style="1" customWidth="1"/>
    <col min="9" max="9" width="8.83203125" style="1"/>
    <col min="10" max="10" width="5.33203125" style="1" customWidth="1"/>
    <col min="11" max="12" width="8.83203125" style="1"/>
    <col min="13" max="13" width="13.33203125" style="1" bestFit="1" customWidth="1"/>
    <col min="14" max="16384" width="8.83203125" style="1"/>
  </cols>
  <sheetData>
    <row r="3" spans="2:10" ht="14" thickBot="1" x14ac:dyDescent="0.2"/>
    <row r="4" spans="2:10" ht="13" customHeight="1" x14ac:dyDescent="0.15">
      <c r="B4" s="69"/>
      <c r="C4" s="70"/>
      <c r="D4" s="70"/>
      <c r="E4" s="70"/>
      <c r="F4" s="155"/>
      <c r="G4" s="70"/>
      <c r="H4" s="70"/>
      <c r="I4" s="70"/>
      <c r="J4" s="82"/>
    </row>
    <row r="5" spans="2:10" ht="13" customHeight="1" x14ac:dyDescent="0.15">
      <c r="B5" s="72"/>
      <c r="C5" s="73"/>
      <c r="D5" s="104"/>
      <c r="E5" s="104"/>
      <c r="F5" s="104"/>
      <c r="G5" s="74"/>
      <c r="H5" s="73"/>
      <c r="I5" s="103" t="s">
        <v>440</v>
      </c>
      <c r="J5" s="75"/>
    </row>
    <row r="6" spans="2:10" ht="13" customHeight="1" x14ac:dyDescent="0.15">
      <c r="B6" s="72"/>
      <c r="C6" s="73"/>
      <c r="D6" s="73"/>
      <c r="E6" s="73"/>
      <c r="F6" s="73"/>
      <c r="G6" s="73"/>
      <c r="H6" s="73"/>
      <c r="I6" s="73"/>
      <c r="J6" s="75"/>
    </row>
    <row r="7" spans="2:10" ht="13" customHeight="1" x14ac:dyDescent="0.15">
      <c r="B7" s="72"/>
      <c r="C7" s="77" t="s">
        <v>438</v>
      </c>
      <c r="D7" s="92"/>
      <c r="E7" s="92"/>
      <c r="F7" s="92"/>
      <c r="G7" s="92"/>
      <c r="H7" s="92"/>
      <c r="I7" s="92"/>
      <c r="J7" s="75"/>
    </row>
    <row r="8" spans="2:10" ht="13" customHeight="1" x14ac:dyDescent="0.15">
      <c r="B8" s="72"/>
      <c r="C8" s="77"/>
      <c r="D8" s="92"/>
      <c r="E8" s="92"/>
      <c r="F8" s="92"/>
      <c r="G8" s="92"/>
      <c r="H8" s="92"/>
      <c r="I8" s="92"/>
      <c r="J8" s="75"/>
    </row>
    <row r="9" spans="2:10" ht="15" customHeight="1" x14ac:dyDescent="0.15">
      <c r="B9" s="2"/>
      <c r="C9" s="46"/>
      <c r="D9" s="50"/>
      <c r="E9" s="50"/>
      <c r="F9" s="50"/>
      <c r="G9" s="50"/>
      <c r="H9" s="50"/>
      <c r="I9" s="50"/>
      <c r="J9" s="22"/>
    </row>
    <row r="10" spans="2:10" ht="15" customHeight="1" x14ac:dyDescent="0.15">
      <c r="B10" s="2"/>
      <c r="H10" s="109"/>
      <c r="I10" s="156"/>
      <c r="J10" s="88"/>
    </row>
    <row r="11" spans="2:10" ht="15" customHeight="1" x14ac:dyDescent="0.15">
      <c r="B11" s="2"/>
      <c r="C11" s="12" t="s">
        <v>415</v>
      </c>
      <c r="D11" s="12"/>
      <c r="E11" s="12"/>
      <c r="F11" s="12"/>
      <c r="H11" s="109"/>
      <c r="I11" s="156"/>
      <c r="J11" s="88"/>
    </row>
    <row r="12" spans="2:10" ht="15" customHeight="1" thickBot="1" x14ac:dyDescent="0.2">
      <c r="B12" s="2"/>
      <c r="C12" s="9"/>
      <c r="F12" s="5" t="s">
        <v>39</v>
      </c>
      <c r="H12" s="109"/>
      <c r="I12" s="156"/>
      <c r="J12" s="88"/>
    </row>
    <row r="13" spans="2:10" ht="18.75" customHeight="1" x14ac:dyDescent="0.15">
      <c r="B13" s="2"/>
      <c r="C13" s="488" t="s">
        <v>47</v>
      </c>
      <c r="D13" s="490" t="s">
        <v>42</v>
      </c>
      <c r="E13" s="490" t="s">
        <v>43</v>
      </c>
      <c r="F13" s="490" t="s">
        <v>359</v>
      </c>
      <c r="H13" s="109"/>
      <c r="I13" s="156"/>
      <c r="J13" s="88"/>
    </row>
    <row r="14" spans="2:10" ht="18.75" customHeight="1" x14ac:dyDescent="0.15">
      <c r="B14" s="2"/>
      <c r="C14" s="489"/>
      <c r="D14" s="491"/>
      <c r="E14" s="491"/>
      <c r="F14" s="491"/>
      <c r="H14" s="157"/>
      <c r="I14" s="156"/>
      <c r="J14" s="88"/>
    </row>
    <row r="15" spans="2:10" ht="30" customHeight="1" x14ac:dyDescent="0.15">
      <c r="B15" s="2"/>
      <c r="C15" s="163" t="s">
        <v>308</v>
      </c>
      <c r="D15" s="164">
        <v>192.93606185729001</v>
      </c>
      <c r="E15" s="165">
        <v>0.37912487659454552</v>
      </c>
      <c r="F15" s="165">
        <v>0.37912487659454552</v>
      </c>
      <c r="G15" s="106">
        <v>0</v>
      </c>
      <c r="H15" s="157"/>
      <c r="I15" s="156"/>
      <c r="J15" s="88"/>
    </row>
    <row r="16" spans="2:10" ht="30" customHeight="1" x14ac:dyDescent="0.15">
      <c r="B16" s="2"/>
      <c r="C16" s="166" t="s">
        <v>307</v>
      </c>
      <c r="D16" s="167">
        <v>67.191031154230004</v>
      </c>
      <c r="E16" s="168">
        <v>0.13203229686241882</v>
      </c>
      <c r="F16" s="168">
        <v>0.51115717345696432</v>
      </c>
      <c r="G16" s="106">
        <v>1</v>
      </c>
      <c r="H16" s="157"/>
      <c r="I16" s="156"/>
      <c r="J16" s="88"/>
    </row>
    <row r="17" spans="2:10" ht="30" customHeight="1" x14ac:dyDescent="0.15">
      <c r="B17" s="2"/>
      <c r="C17" s="166" t="s">
        <v>306</v>
      </c>
      <c r="D17" s="167">
        <v>137.02587392688</v>
      </c>
      <c r="E17" s="168">
        <v>0.26925975912794464</v>
      </c>
      <c r="F17" s="168">
        <v>0.78041693258490896</v>
      </c>
      <c r="G17" s="106">
        <v>2</v>
      </c>
      <c r="H17" s="157"/>
      <c r="I17" s="156"/>
      <c r="J17" s="88"/>
    </row>
    <row r="18" spans="2:10" ht="30" customHeight="1" x14ac:dyDescent="0.15">
      <c r="B18" s="2"/>
      <c r="C18" s="166" t="s">
        <v>305</v>
      </c>
      <c r="D18" s="167">
        <v>76.716143477000003</v>
      </c>
      <c r="E18" s="168">
        <v>0.15074941485040014</v>
      </c>
      <c r="F18" s="168">
        <v>0.93116634743530913</v>
      </c>
      <c r="G18" s="106">
        <v>3</v>
      </c>
      <c r="H18" s="157"/>
      <c r="I18" s="156"/>
      <c r="J18" s="88"/>
    </row>
    <row r="19" spans="2:10" ht="30" customHeight="1" x14ac:dyDescent="0.15">
      <c r="B19" s="2"/>
      <c r="C19" s="166" t="s">
        <v>304</v>
      </c>
      <c r="D19" s="167">
        <v>25.763078262410001</v>
      </c>
      <c r="E19" s="168">
        <v>5.0625185218907028E-2</v>
      </c>
      <c r="F19" s="168">
        <v>0.98179153265421615</v>
      </c>
      <c r="G19" s="106">
        <v>4</v>
      </c>
      <c r="H19" s="157"/>
      <c r="I19" s="156"/>
      <c r="J19" s="88"/>
    </row>
    <row r="20" spans="2:10" ht="30" customHeight="1" x14ac:dyDescent="0.15">
      <c r="B20" s="2"/>
      <c r="C20" s="166" t="s">
        <v>303</v>
      </c>
      <c r="D20" s="167">
        <v>8.6958875668500006</v>
      </c>
      <c r="E20" s="168">
        <v>1.7087667639347954E-2</v>
      </c>
      <c r="F20" s="168">
        <v>0.99887920029356403</v>
      </c>
      <c r="G20" s="106">
        <v>5</v>
      </c>
      <c r="H20" s="157"/>
      <c r="I20" s="156"/>
      <c r="J20" s="88"/>
    </row>
    <row r="21" spans="2:10" ht="30" customHeight="1" x14ac:dyDescent="0.15">
      <c r="B21" s="2"/>
      <c r="C21" s="189" t="s">
        <v>345</v>
      </c>
      <c r="D21" s="167">
        <v>0.57037323278001395</v>
      </c>
      <c r="E21" s="168">
        <v>1.1207997064359284E-3</v>
      </c>
      <c r="F21" s="168">
        <v>1</v>
      </c>
      <c r="G21" s="106">
        <v>6</v>
      </c>
      <c r="I21" s="156"/>
      <c r="J21" s="22"/>
    </row>
    <row r="22" spans="2:10" ht="30" customHeight="1" thickBot="1" x14ac:dyDescent="0.2">
      <c r="B22" s="144"/>
      <c r="C22" s="169">
        <v>0</v>
      </c>
      <c r="D22" s="170">
        <v>0</v>
      </c>
      <c r="E22" s="188">
        <v>0</v>
      </c>
      <c r="F22" s="188">
        <v>1</v>
      </c>
      <c r="G22" s="106">
        <v>7</v>
      </c>
      <c r="I22" s="156"/>
      <c r="J22" s="22"/>
    </row>
    <row r="23" spans="2:10" ht="30" customHeight="1" thickBot="1" x14ac:dyDescent="0.2">
      <c r="B23" s="2"/>
      <c r="C23" s="171" t="s">
        <v>25</v>
      </c>
      <c r="D23" s="172">
        <v>508.89844947744001</v>
      </c>
      <c r="E23" s="173"/>
      <c r="F23" s="173"/>
      <c r="H23" s="52"/>
      <c r="J23" s="22"/>
    </row>
    <row r="24" spans="2:10" ht="22.5" customHeight="1" x14ac:dyDescent="0.15">
      <c r="B24" s="2"/>
      <c r="C24" s="180"/>
      <c r="D24" s="181"/>
      <c r="E24" s="169"/>
      <c r="F24" s="169"/>
      <c r="H24" s="52"/>
      <c r="J24" s="22"/>
    </row>
    <row r="25" spans="2:10" ht="14" thickBot="1" x14ac:dyDescent="0.2">
      <c r="B25" s="4"/>
      <c r="C25" s="13"/>
      <c r="D25" s="13"/>
      <c r="E25" s="13"/>
      <c r="F25" s="13"/>
      <c r="G25" s="13"/>
      <c r="H25" s="13"/>
      <c r="I25" s="35"/>
      <c r="J25" s="27"/>
    </row>
    <row r="26" spans="2:10" x14ac:dyDescent="0.15">
      <c r="I26" s="3"/>
    </row>
    <row r="38" spans="3:3" x14ac:dyDescent="0.15">
      <c r="C38" s="9"/>
    </row>
  </sheetData>
  <sheetProtection selectLockedCells="1" selectUnlockedCells="1"/>
  <mergeCells count="4">
    <mergeCell ref="C13:C14"/>
    <mergeCell ref="D13:D14"/>
    <mergeCell ref="E13:E14"/>
    <mergeCell ref="F13:F14"/>
  </mergeCells>
  <conditionalFormatting sqref="H10:I20 C21:E22">
    <cfRule type="cellIs" dxfId="9" priority="6" operator="equal">
      <formula>0</formula>
    </cfRule>
  </conditionalFormatting>
  <conditionalFormatting sqref="H21:H22">
    <cfRule type="expression" dxfId="8" priority="20">
      <formula>#REF!=0</formula>
    </cfRule>
  </conditionalFormatting>
  <conditionalFormatting sqref="L20">
    <cfRule type="expression" dxfId="7" priority="2">
      <formula>$D$21=0</formula>
    </cfRule>
  </conditionalFormatting>
  <conditionalFormatting sqref="F22">
    <cfRule type="expression" dxfId="6" priority="1">
      <formula>E22=0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105" firstPageNumber="0" orientation="landscape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19">
    <pageSetUpPr fitToPage="1"/>
  </sheetPr>
  <dimension ref="B3:L56"/>
  <sheetViews>
    <sheetView showGridLines="0" topLeftCell="A9" workbookViewId="0">
      <selection activeCell="D22" sqref="D22"/>
    </sheetView>
  </sheetViews>
  <sheetFormatPr baseColWidth="10" defaultColWidth="8.83203125" defaultRowHeight="13" x14ac:dyDescent="0.15"/>
  <cols>
    <col min="1" max="1" width="3.33203125" style="1" customWidth="1"/>
    <col min="2" max="2" width="5.6640625" style="1" customWidth="1"/>
    <col min="3" max="3" width="52.83203125" style="1" customWidth="1"/>
    <col min="4" max="4" width="8.5" style="1" customWidth="1"/>
    <col min="5" max="5" width="9.6640625" style="1" customWidth="1"/>
    <col min="6" max="6" width="7" style="1" customWidth="1"/>
    <col min="7" max="7" width="10.5" style="1" customWidth="1"/>
    <col min="8" max="8" width="50.5" style="1" customWidth="1"/>
    <col min="9" max="9" width="9.5" style="1" bestFit="1" customWidth="1"/>
    <col min="10" max="11" width="8.83203125" style="1"/>
    <col min="12" max="12" width="5.33203125" style="1" customWidth="1"/>
    <col min="13" max="16384" width="8.83203125" style="1"/>
  </cols>
  <sheetData>
    <row r="3" spans="2:12" ht="14" thickBot="1" x14ac:dyDescent="0.2"/>
    <row r="4" spans="2:12" ht="13" customHeight="1" x14ac:dyDescent="0.15">
      <c r="B4" s="69"/>
      <c r="C4" s="70"/>
      <c r="D4" s="70"/>
      <c r="E4" s="70"/>
      <c r="F4" s="155"/>
      <c r="G4" s="70"/>
      <c r="H4" s="70"/>
      <c r="I4" s="70"/>
      <c r="J4" s="70"/>
      <c r="K4" s="70"/>
      <c r="L4" s="82"/>
    </row>
    <row r="5" spans="2:12" ht="13" customHeight="1" x14ac:dyDescent="0.15">
      <c r="B5" s="72"/>
      <c r="C5" s="73"/>
      <c r="D5" s="104"/>
      <c r="E5" s="104"/>
      <c r="F5" s="104"/>
      <c r="G5" s="74"/>
      <c r="H5" s="73"/>
      <c r="I5" s="73"/>
      <c r="J5" s="73"/>
      <c r="K5" s="103" t="s">
        <v>439</v>
      </c>
      <c r="L5" s="75"/>
    </row>
    <row r="6" spans="2:12" ht="13" customHeight="1" x14ac:dyDescent="0.15">
      <c r="B6" s="72"/>
      <c r="C6" s="73"/>
      <c r="D6" s="73"/>
      <c r="E6" s="73"/>
      <c r="F6" s="73"/>
      <c r="G6" s="73"/>
      <c r="H6" s="73"/>
      <c r="I6" s="73"/>
      <c r="J6" s="73"/>
      <c r="K6" s="73"/>
      <c r="L6" s="75"/>
    </row>
    <row r="7" spans="2:12" ht="13" customHeight="1" x14ac:dyDescent="0.15">
      <c r="B7" s="72"/>
      <c r="C7" s="77" t="s">
        <v>438</v>
      </c>
      <c r="D7" s="92"/>
      <c r="E7" s="92"/>
      <c r="F7" s="92"/>
      <c r="G7" s="92"/>
      <c r="H7" s="92"/>
      <c r="I7" s="92"/>
      <c r="J7" s="92"/>
      <c r="K7" s="92"/>
      <c r="L7" s="75"/>
    </row>
    <row r="8" spans="2:12" ht="13" customHeight="1" x14ac:dyDescent="0.15">
      <c r="B8" s="72"/>
      <c r="C8" s="77"/>
      <c r="D8" s="92"/>
      <c r="E8" s="92"/>
      <c r="F8" s="92"/>
      <c r="G8" s="92"/>
      <c r="H8" s="92"/>
      <c r="I8" s="92"/>
      <c r="J8" s="92"/>
      <c r="K8" s="92"/>
      <c r="L8" s="75"/>
    </row>
    <row r="9" spans="2:12" ht="15" customHeight="1" x14ac:dyDescent="0.15">
      <c r="B9" s="2"/>
      <c r="C9" s="46"/>
      <c r="D9" s="50"/>
      <c r="E9" s="50"/>
      <c r="F9" s="50"/>
      <c r="G9" s="50"/>
      <c r="H9" s="50"/>
      <c r="I9" s="50"/>
      <c r="J9" s="50"/>
      <c r="K9" s="50"/>
      <c r="L9" s="22"/>
    </row>
    <row r="10" spans="2:12" ht="15" customHeight="1" x14ac:dyDescent="0.15">
      <c r="B10" s="2"/>
      <c r="C10" s="12" t="s">
        <v>416</v>
      </c>
      <c r="D10" s="174"/>
      <c r="E10" s="174"/>
      <c r="F10" s="174"/>
      <c r="G10" s="174"/>
      <c r="I10" s="12"/>
      <c r="J10" s="12"/>
      <c r="K10" s="12"/>
      <c r="L10" s="22"/>
    </row>
    <row r="11" spans="2:12" ht="15" customHeight="1" thickBot="1" x14ac:dyDescent="0.2">
      <c r="B11" s="2"/>
      <c r="F11" s="8" t="s">
        <v>39</v>
      </c>
      <c r="G11" s="175"/>
      <c r="L11" s="22"/>
    </row>
    <row r="12" spans="2:12" ht="30.75" customHeight="1" thickBot="1" x14ac:dyDescent="0.2">
      <c r="B12" s="2"/>
      <c r="C12" s="58" t="s">
        <v>41</v>
      </c>
      <c r="D12" s="58" t="s">
        <v>42</v>
      </c>
      <c r="E12" s="58" t="s">
        <v>43</v>
      </c>
      <c r="F12" s="58" t="s">
        <v>359</v>
      </c>
      <c r="G12" s="175"/>
      <c r="L12" s="22"/>
    </row>
    <row r="13" spans="2:12" x14ac:dyDescent="0.15">
      <c r="B13" s="2"/>
      <c r="C13" s="202" t="s">
        <v>343</v>
      </c>
      <c r="D13" s="203">
        <v>41.622408752129999</v>
      </c>
      <c r="E13" s="363">
        <v>0.22259529246803494</v>
      </c>
      <c r="F13" s="204">
        <v>0.22259529246803494</v>
      </c>
      <c r="G13" s="176"/>
      <c r="L13" s="88">
        <v>0</v>
      </c>
    </row>
    <row r="14" spans="2:12" x14ac:dyDescent="0.15">
      <c r="B14" s="2"/>
      <c r="C14" s="36" t="s">
        <v>344</v>
      </c>
      <c r="D14" s="113">
        <v>39.447939356680003</v>
      </c>
      <c r="E14" s="364">
        <v>0.21096630064477306</v>
      </c>
      <c r="F14" s="67">
        <v>0.43356159311280801</v>
      </c>
      <c r="G14" s="176"/>
      <c r="L14" s="88">
        <v>1</v>
      </c>
    </row>
    <row r="15" spans="2:12" x14ac:dyDescent="0.15">
      <c r="B15" s="2"/>
      <c r="C15" s="36" t="s">
        <v>340</v>
      </c>
      <c r="D15" s="113">
        <v>17.75408672288</v>
      </c>
      <c r="E15" s="364">
        <v>9.4948280146811295E-2</v>
      </c>
      <c r="F15" s="67">
        <v>0.52850987325961929</v>
      </c>
      <c r="G15" s="176"/>
      <c r="L15" s="88">
        <v>2</v>
      </c>
    </row>
    <row r="16" spans="2:12" x14ac:dyDescent="0.15">
      <c r="B16" s="2"/>
      <c r="C16" s="36" t="s">
        <v>345</v>
      </c>
      <c r="D16" s="113">
        <v>16.228950775569999</v>
      </c>
      <c r="E16" s="364">
        <v>8.6791902550629768E-2</v>
      </c>
      <c r="F16" s="67">
        <v>0.61530177581024903</v>
      </c>
      <c r="G16" s="176"/>
      <c r="L16" s="88">
        <v>3</v>
      </c>
    </row>
    <row r="17" spans="2:12" x14ac:dyDescent="0.15">
      <c r="B17" s="2"/>
      <c r="C17" s="36" t="s">
        <v>342</v>
      </c>
      <c r="D17" s="113">
        <v>11.814006775639999</v>
      </c>
      <c r="E17" s="364">
        <v>6.3180925186324233E-2</v>
      </c>
      <c r="F17" s="67">
        <v>0.67848270099657326</v>
      </c>
      <c r="G17" s="176"/>
      <c r="L17" s="88">
        <v>4</v>
      </c>
    </row>
    <row r="18" spans="2:12" x14ac:dyDescent="0.15">
      <c r="B18" s="2"/>
      <c r="C18" s="36" t="s">
        <v>336</v>
      </c>
      <c r="D18" s="113">
        <v>11.794540290680001</v>
      </c>
      <c r="E18" s="364">
        <v>6.3076819055927005E-2</v>
      </c>
      <c r="F18" s="67">
        <v>0.74155952005250025</v>
      </c>
      <c r="G18" s="176"/>
      <c r="L18" s="88">
        <v>5</v>
      </c>
    </row>
    <row r="19" spans="2:12" x14ac:dyDescent="0.15">
      <c r="B19" s="2"/>
      <c r="C19" s="36" t="s">
        <v>341</v>
      </c>
      <c r="D19" s="113">
        <v>10.868551473169999</v>
      </c>
      <c r="E19" s="364">
        <v>5.8124660883552601E-2</v>
      </c>
      <c r="F19" s="67">
        <v>0.79968418093605287</v>
      </c>
      <c r="G19" s="176"/>
      <c r="L19" s="88">
        <v>6</v>
      </c>
    </row>
    <row r="20" spans="2:12" x14ac:dyDescent="0.15">
      <c r="B20" s="2"/>
      <c r="C20" s="36" t="s">
        <v>339</v>
      </c>
      <c r="D20" s="113">
        <v>10.794037890459999</v>
      </c>
      <c r="E20" s="364">
        <v>5.772616465920026E-2</v>
      </c>
      <c r="F20" s="67">
        <v>0.85741034559525309</v>
      </c>
      <c r="G20" s="176"/>
      <c r="L20" s="88">
        <v>7</v>
      </c>
    </row>
    <row r="21" spans="2:12" x14ac:dyDescent="0.15">
      <c r="B21" s="2"/>
      <c r="C21" s="36" t="s">
        <v>338</v>
      </c>
      <c r="D21" s="113">
        <v>4.6765705208300004</v>
      </c>
      <c r="E21" s="364">
        <v>2.501014751526779E-2</v>
      </c>
      <c r="F21" s="67">
        <v>0.88242049311052084</v>
      </c>
      <c r="G21" s="176"/>
      <c r="L21" s="88">
        <v>8</v>
      </c>
    </row>
    <row r="22" spans="2:12" x14ac:dyDescent="0.15">
      <c r="B22" s="2"/>
      <c r="C22" s="36" t="s">
        <v>337</v>
      </c>
      <c r="D22" s="113">
        <v>4.1149828312999999</v>
      </c>
      <c r="E22" s="364">
        <v>2.2006794760221354E-2</v>
      </c>
      <c r="F22" s="67">
        <v>0.90442728787074222</v>
      </c>
      <c r="G22" s="176"/>
      <c r="L22" s="88">
        <v>9</v>
      </c>
    </row>
    <row r="23" spans="2:12" x14ac:dyDescent="0.15">
      <c r="B23" s="2"/>
      <c r="C23" s="36" t="s">
        <v>335</v>
      </c>
      <c r="D23" s="113">
        <v>3.28434307804</v>
      </c>
      <c r="E23" s="364">
        <v>1.7564560291918892E-2</v>
      </c>
      <c r="F23" s="67">
        <v>0.92199184816266111</v>
      </c>
      <c r="G23" s="176"/>
      <c r="L23" s="88">
        <v>10</v>
      </c>
    </row>
    <row r="24" spans="2:12" x14ac:dyDescent="0.15">
      <c r="B24" s="2"/>
      <c r="C24" s="36" t="s">
        <v>334</v>
      </c>
      <c r="D24" s="113">
        <v>2.1456753128699999</v>
      </c>
      <c r="E24" s="364">
        <v>1.1475002003224963E-2</v>
      </c>
      <c r="F24" s="67">
        <v>0.93346685016588604</v>
      </c>
      <c r="G24" s="176"/>
      <c r="L24" s="88">
        <v>11</v>
      </c>
    </row>
    <row r="25" spans="2:12" x14ac:dyDescent="0.15">
      <c r="B25" s="2"/>
      <c r="C25" s="36" t="s">
        <v>325</v>
      </c>
      <c r="D25" s="113">
        <v>1.7580462036300002</v>
      </c>
      <c r="E25" s="364">
        <v>9.4019740952477251E-3</v>
      </c>
      <c r="F25" s="67">
        <v>0.94286882426113372</v>
      </c>
      <c r="G25" s="176"/>
      <c r="L25" s="88">
        <v>12</v>
      </c>
    </row>
    <row r="26" spans="2:12" x14ac:dyDescent="0.15">
      <c r="B26" s="2"/>
      <c r="C26" s="36" t="s">
        <v>333</v>
      </c>
      <c r="D26" s="113">
        <v>1.72077040854</v>
      </c>
      <c r="E26" s="364">
        <v>9.2026243517129378E-3</v>
      </c>
      <c r="F26" s="67">
        <v>0.95207144861284665</v>
      </c>
      <c r="G26" s="176"/>
      <c r="L26" s="88">
        <v>13</v>
      </c>
    </row>
    <row r="27" spans="2:12" x14ac:dyDescent="0.15">
      <c r="B27" s="2"/>
      <c r="C27" s="36" t="s">
        <v>332</v>
      </c>
      <c r="D27" s="113">
        <v>1.4636889955499999</v>
      </c>
      <c r="E27" s="364">
        <v>7.8277612904857023E-3</v>
      </c>
      <c r="F27" s="67">
        <v>0.95989920990333233</v>
      </c>
      <c r="G27" s="176"/>
      <c r="L27" s="88">
        <v>14</v>
      </c>
    </row>
    <row r="28" spans="2:12" x14ac:dyDescent="0.15">
      <c r="B28" s="2"/>
      <c r="C28" s="36" t="s">
        <v>330</v>
      </c>
      <c r="D28" s="113">
        <v>1.16750514793</v>
      </c>
      <c r="E28" s="364">
        <v>6.2437796766895556E-3</v>
      </c>
      <c r="F28" s="67">
        <v>0.96614298958002187</v>
      </c>
      <c r="G28" s="176"/>
      <c r="L28" s="88">
        <v>15</v>
      </c>
    </row>
    <row r="29" spans="2:12" x14ac:dyDescent="0.15">
      <c r="B29" s="2"/>
      <c r="C29" s="36" t="s">
        <v>331</v>
      </c>
      <c r="D29" s="113">
        <v>1.1461975254000001</v>
      </c>
      <c r="E29" s="364">
        <v>6.1298272022638385E-3</v>
      </c>
      <c r="F29" s="67">
        <v>0.97227281678228572</v>
      </c>
      <c r="G29" s="176"/>
      <c r="L29" s="88">
        <v>16</v>
      </c>
    </row>
    <row r="30" spans="2:12" x14ac:dyDescent="0.15">
      <c r="B30" s="2"/>
      <c r="C30" s="36" t="s">
        <v>327</v>
      </c>
      <c r="D30" s="113">
        <v>0.92049729287000004</v>
      </c>
      <c r="E30" s="364">
        <v>4.9227896766533613E-3</v>
      </c>
      <c r="F30" s="67">
        <v>0.9771956064589391</v>
      </c>
      <c r="G30" s="176"/>
      <c r="L30" s="88">
        <v>17</v>
      </c>
    </row>
    <row r="31" spans="2:12" x14ac:dyDescent="0.15">
      <c r="B31" s="2"/>
      <c r="C31" s="36" t="s">
        <v>329</v>
      </c>
      <c r="D31" s="113">
        <v>0.9081260324299999</v>
      </c>
      <c r="E31" s="364">
        <v>4.8566285769380754E-3</v>
      </c>
      <c r="F31" s="67">
        <v>0.98205223503587713</v>
      </c>
      <c r="G31" s="176"/>
      <c r="L31" s="88">
        <v>18</v>
      </c>
    </row>
    <row r="32" spans="2:12" x14ac:dyDescent="0.15">
      <c r="B32" s="2"/>
      <c r="C32" s="36" t="s">
        <v>326</v>
      </c>
      <c r="D32" s="113">
        <v>0.87138777169000003</v>
      </c>
      <c r="E32" s="364">
        <v>4.6601535496784219E-3</v>
      </c>
      <c r="F32" s="67">
        <v>0.98671238858555554</v>
      </c>
      <c r="G32" s="176"/>
      <c r="L32" s="88">
        <v>19</v>
      </c>
    </row>
    <row r="33" spans="2:12" x14ac:dyDescent="0.15">
      <c r="B33" s="2"/>
      <c r="C33" s="36" t="s">
        <v>328</v>
      </c>
      <c r="D33" s="113">
        <v>0.82477995288999995</v>
      </c>
      <c r="E33" s="364">
        <v>4.4108964459181237E-3</v>
      </c>
      <c r="F33" s="67">
        <v>0.99112328503147362</v>
      </c>
      <c r="G33" s="176"/>
      <c r="L33" s="88">
        <v>20</v>
      </c>
    </row>
    <row r="34" spans="2:12" ht="12.75" customHeight="1" x14ac:dyDescent="0.15">
      <c r="B34" s="2"/>
      <c r="C34" s="36" t="s">
        <v>324</v>
      </c>
      <c r="D34" s="113">
        <v>0.44266912017000004</v>
      </c>
      <c r="E34" s="364">
        <v>2.3673801018487752E-3</v>
      </c>
      <c r="F34" s="67">
        <v>0.9934906651333224</v>
      </c>
      <c r="G34" s="176"/>
      <c r="L34" s="88">
        <v>21</v>
      </c>
    </row>
    <row r="35" spans="2:12" x14ac:dyDescent="0.15">
      <c r="B35" s="2"/>
      <c r="C35" s="36" t="s">
        <v>323</v>
      </c>
      <c r="D35" s="113">
        <v>0.26516959838999998</v>
      </c>
      <c r="E35" s="364">
        <v>1.4181184145002858E-3</v>
      </c>
      <c r="F35" s="67">
        <v>0.99490878354782264</v>
      </c>
      <c r="G35" s="176"/>
      <c r="L35" s="88">
        <v>22</v>
      </c>
    </row>
    <row r="36" spans="2:12" x14ac:dyDescent="0.15">
      <c r="B36" s="2"/>
      <c r="C36" s="36" t="s">
        <v>322</v>
      </c>
      <c r="D36" s="113">
        <v>0.21184336326</v>
      </c>
      <c r="E36" s="364">
        <v>1.132931438040782E-3</v>
      </c>
      <c r="F36" s="67">
        <v>0.99604171498586347</v>
      </c>
      <c r="G36" s="176"/>
      <c r="L36" s="88">
        <v>23</v>
      </c>
    </row>
    <row r="37" spans="2:12" x14ac:dyDescent="0.15">
      <c r="B37" s="2"/>
      <c r="C37" s="36" t="s">
        <v>321</v>
      </c>
      <c r="D37" s="113">
        <v>0.18933427844999998</v>
      </c>
      <c r="E37" s="364">
        <v>1.0125535822970691E-3</v>
      </c>
      <c r="F37" s="67">
        <v>0.99705426856816048</v>
      </c>
      <c r="G37" s="176"/>
      <c r="L37" s="88">
        <v>24</v>
      </c>
    </row>
    <row r="38" spans="2:12" x14ac:dyDescent="0.15">
      <c r="B38" s="2"/>
      <c r="C38" s="36" t="s">
        <v>320</v>
      </c>
      <c r="D38" s="113">
        <v>0.16092906044999999</v>
      </c>
      <c r="E38" s="364">
        <v>8.6064339742568732E-4</v>
      </c>
      <c r="F38" s="67">
        <v>0.99791491196558613</v>
      </c>
      <c r="G38" s="175"/>
      <c r="L38" s="88">
        <v>25</v>
      </c>
    </row>
    <row r="39" spans="2:12" x14ac:dyDescent="0.15">
      <c r="B39" s="2"/>
      <c r="C39" s="36" t="s">
        <v>318</v>
      </c>
      <c r="D39" s="113">
        <v>8.9763793670000008E-2</v>
      </c>
      <c r="E39" s="365">
        <v>4.8005385810333435E-4</v>
      </c>
      <c r="F39" s="67">
        <v>0.99839496582368947</v>
      </c>
      <c r="G39" s="175"/>
      <c r="L39" s="88">
        <v>26</v>
      </c>
    </row>
    <row r="40" spans="2:12" x14ac:dyDescent="0.15">
      <c r="B40" s="2"/>
      <c r="C40" s="36" t="s">
        <v>319</v>
      </c>
      <c r="D40" s="113">
        <v>7.8007615719999993E-2</v>
      </c>
      <c r="E40" s="365">
        <v>4.171821996015279E-4</v>
      </c>
      <c r="F40" s="67">
        <v>0.99881214802329099</v>
      </c>
      <c r="L40" s="88">
        <v>27</v>
      </c>
    </row>
    <row r="41" spans="2:12" x14ac:dyDescent="0.15">
      <c r="B41" s="2"/>
      <c r="C41" s="36" t="s">
        <v>317</v>
      </c>
      <c r="D41" s="113">
        <v>6.1472963669999998E-2</v>
      </c>
      <c r="E41" s="365">
        <v>3.2875541654710905E-4</v>
      </c>
      <c r="F41" s="67">
        <v>0.99914090343983808</v>
      </c>
      <c r="L41" s="88">
        <v>28</v>
      </c>
    </row>
    <row r="42" spans="2:12" ht="12.75" customHeight="1" x14ac:dyDescent="0.15">
      <c r="B42" s="2"/>
      <c r="C42" s="36" t="s">
        <v>316</v>
      </c>
      <c r="D42" s="113">
        <v>4.8220757520000004E-2</v>
      </c>
      <c r="E42" s="365">
        <v>2.5788304773796412E-4</v>
      </c>
      <c r="F42" s="67">
        <v>0.99939878648757607</v>
      </c>
      <c r="L42" s="88">
        <v>29</v>
      </c>
    </row>
    <row r="43" spans="2:12" ht="12.75" customHeight="1" x14ac:dyDescent="0.15">
      <c r="B43" s="2"/>
      <c r="C43" s="36" t="s">
        <v>315</v>
      </c>
      <c r="D43" s="113">
        <v>2.729237072E-2</v>
      </c>
      <c r="E43" s="365">
        <v>1.4595871370019022E-4</v>
      </c>
      <c r="F43" s="67">
        <v>0.99954474520127623</v>
      </c>
      <c r="L43" s="88">
        <v>30</v>
      </c>
    </row>
    <row r="44" spans="2:12" ht="12.75" customHeight="1" x14ac:dyDescent="0.15">
      <c r="B44" s="2"/>
      <c r="C44" s="110" t="s">
        <v>314</v>
      </c>
      <c r="D44" s="114">
        <v>1.76330094E-2</v>
      </c>
      <c r="E44" s="366">
        <v>9.4300762549782719E-5</v>
      </c>
      <c r="F44" s="67">
        <v>0.99963904596382602</v>
      </c>
      <c r="L44" s="88">
        <v>31</v>
      </c>
    </row>
    <row r="45" spans="2:12" ht="12.75" customHeight="1" x14ac:dyDescent="0.15">
      <c r="B45" s="2"/>
      <c r="C45" s="110" t="s">
        <v>434</v>
      </c>
      <c r="D45" s="114">
        <v>1.622276773E-2</v>
      </c>
      <c r="E45" s="366">
        <v>8.6758835823396536E-5</v>
      </c>
      <c r="F45" s="67">
        <v>0.99972580479964945</v>
      </c>
      <c r="G45" s="106"/>
      <c r="L45" s="88">
        <v>32</v>
      </c>
    </row>
    <row r="46" spans="2:12" x14ac:dyDescent="0.15">
      <c r="B46" s="2"/>
      <c r="C46" s="110" t="s">
        <v>313</v>
      </c>
      <c r="D46" s="114">
        <v>1.107756631E-2</v>
      </c>
      <c r="E46" s="366">
        <v>5.9242465453956078E-5</v>
      </c>
      <c r="F46" s="67">
        <v>0.99978504726510342</v>
      </c>
      <c r="G46" s="106"/>
      <c r="L46" s="88">
        <v>33</v>
      </c>
    </row>
    <row r="47" spans="2:12" x14ac:dyDescent="0.15">
      <c r="B47" s="2"/>
      <c r="C47" s="110" t="s">
        <v>310</v>
      </c>
      <c r="D47" s="114">
        <v>9.3046453800000005E-3</v>
      </c>
      <c r="E47" s="366">
        <v>4.9760941804370214E-5</v>
      </c>
      <c r="F47" s="67">
        <v>0.99983480820690784</v>
      </c>
      <c r="G47" s="106"/>
      <c r="L47" s="88">
        <v>34</v>
      </c>
    </row>
    <row r="48" spans="2:12" x14ac:dyDescent="0.15">
      <c r="B48" s="2"/>
      <c r="C48" s="110" t="s">
        <v>312</v>
      </c>
      <c r="D48" s="114">
        <v>9.0773625099999991E-3</v>
      </c>
      <c r="E48" s="366">
        <v>4.8545440384884596E-5</v>
      </c>
      <c r="F48" s="67">
        <v>0.99988335364729275</v>
      </c>
      <c r="G48" s="106"/>
      <c r="L48" s="88">
        <v>35</v>
      </c>
    </row>
    <row r="49" spans="2:12" x14ac:dyDescent="0.15">
      <c r="B49" s="2"/>
      <c r="C49" s="110" t="s">
        <v>309</v>
      </c>
      <c r="D49" s="114">
        <v>6.3638063000000002E-3</v>
      </c>
      <c r="E49" s="366">
        <v>3.4033429756415341E-5</v>
      </c>
      <c r="F49" s="67">
        <v>0.99991738707704914</v>
      </c>
      <c r="G49" s="106"/>
      <c r="L49" s="88">
        <v>36</v>
      </c>
    </row>
    <row r="50" spans="2:12" x14ac:dyDescent="0.15">
      <c r="B50" s="2"/>
      <c r="C50" s="110" t="s">
        <v>311</v>
      </c>
      <c r="D50" s="114">
        <v>4.2376459299999997E-3</v>
      </c>
      <c r="E50" s="366">
        <v>2.266279303491911E-5</v>
      </c>
      <c r="F50" s="67">
        <v>0.999940049870084</v>
      </c>
      <c r="G50" s="106"/>
      <c r="L50" s="88">
        <v>37</v>
      </c>
    </row>
    <row r="51" spans="2:12" ht="14" thickBot="1" x14ac:dyDescent="0.2">
      <c r="B51" s="2"/>
      <c r="C51" s="205" t="s">
        <v>80</v>
      </c>
      <c r="D51" s="206">
        <v>1.1209890310027504E-2</v>
      </c>
      <c r="E51" s="367">
        <v>5.9950129915714437E-5</v>
      </c>
      <c r="F51" s="207">
        <v>0.99999999999999967</v>
      </c>
      <c r="G51" s="106"/>
      <c r="L51" s="22"/>
    </row>
    <row r="52" spans="2:12" ht="14" thickBot="1" x14ac:dyDescent="0.2">
      <c r="B52" s="2"/>
      <c r="C52" s="55" t="s">
        <v>25</v>
      </c>
      <c r="D52" s="56">
        <v>186.98692272707001</v>
      </c>
      <c r="E52" s="57"/>
      <c r="F52" s="57"/>
      <c r="L52" s="22"/>
    </row>
    <row r="53" spans="2:12" ht="14" thickBot="1" x14ac:dyDescent="0.2">
      <c r="B53" s="4"/>
      <c r="C53" s="13"/>
      <c r="D53" s="13"/>
      <c r="E53" s="13"/>
      <c r="F53" s="13"/>
      <c r="G53" s="13"/>
      <c r="H53" s="13"/>
      <c r="I53" s="51"/>
      <c r="J53" s="35"/>
      <c r="K53" s="35"/>
      <c r="L53" s="27"/>
    </row>
    <row r="54" spans="2:12" x14ac:dyDescent="0.15">
      <c r="I54" s="10"/>
      <c r="J54" s="3"/>
      <c r="K54" s="3"/>
    </row>
    <row r="55" spans="2:12" x14ac:dyDescent="0.15">
      <c r="I55" s="112"/>
    </row>
    <row r="56" spans="2:12" x14ac:dyDescent="0.15">
      <c r="I56" s="111"/>
    </row>
  </sheetData>
  <sheetProtection selectLockedCells="1" selectUnlockedCells="1"/>
  <conditionalFormatting sqref="C39:E50">
    <cfRule type="cellIs" dxfId="5" priority="8" operator="equal">
      <formula>0</formula>
    </cfRule>
  </conditionalFormatting>
  <conditionalFormatting sqref="C51:E51">
    <cfRule type="expression" dxfId="4" priority="7">
      <formula>$D$51=0</formula>
    </cfRule>
  </conditionalFormatting>
  <conditionalFormatting sqref="F41">
    <cfRule type="expression" dxfId="3" priority="5">
      <formula>$E41=0</formula>
    </cfRule>
  </conditionalFormatting>
  <conditionalFormatting sqref="F39">
    <cfRule type="expression" dxfId="2" priority="3">
      <formula>$E$39=0</formula>
    </cfRule>
  </conditionalFormatting>
  <conditionalFormatting sqref="F40">
    <cfRule type="expression" dxfId="1" priority="2">
      <formula>$E$40=0</formula>
    </cfRule>
  </conditionalFormatting>
  <conditionalFormatting sqref="F42:F51">
    <cfRule type="expression" dxfId="0" priority="1">
      <formula>$E42=0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78" firstPageNumber="0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pageSetUpPr fitToPage="1"/>
  </sheetPr>
  <dimension ref="A2:V42"/>
  <sheetViews>
    <sheetView showGridLines="0" workbookViewId="0">
      <selection activeCell="D19" sqref="D19:E19"/>
    </sheetView>
  </sheetViews>
  <sheetFormatPr baseColWidth="10" defaultColWidth="8.83203125" defaultRowHeight="13" x14ac:dyDescent="0.15"/>
  <cols>
    <col min="1" max="2" width="3.33203125" style="1" customWidth="1"/>
    <col min="3" max="3" width="14.6640625" style="1" customWidth="1"/>
    <col min="4" max="4" width="11.6640625" style="1" customWidth="1"/>
    <col min="5" max="5" width="9.6640625" style="1" customWidth="1"/>
    <col min="6" max="19" width="8.6640625" style="1" customWidth="1"/>
    <col min="20" max="21" width="9.6640625" style="1" customWidth="1"/>
    <col min="22" max="22" width="3.33203125" style="1" customWidth="1"/>
    <col min="23" max="23" width="8.83203125" style="1"/>
    <col min="24" max="24" width="8.6640625" style="1" customWidth="1"/>
    <col min="25" max="25" width="12.5" style="1" customWidth="1"/>
    <col min="26" max="30" width="8.83203125" style="1"/>
    <col min="31" max="32" width="14" style="1" customWidth="1"/>
    <col min="33" max="16384" width="8.83203125" style="1"/>
  </cols>
  <sheetData>
    <row r="2" spans="2:22" x14ac:dyDescent="0.15">
      <c r="B2" s="12"/>
      <c r="D2" s="12"/>
    </row>
    <row r="3" spans="2:22" ht="14" thickBot="1" x14ac:dyDescent="0.2">
      <c r="B3" s="184">
        <v>2.5</v>
      </c>
      <c r="C3" s="9">
        <v>14</v>
      </c>
      <c r="D3" s="9">
        <v>11</v>
      </c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4">
        <v>2.5</v>
      </c>
    </row>
    <row r="4" spans="2:22" ht="13" customHeight="1" x14ac:dyDescent="0.15">
      <c r="B4" s="69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1"/>
    </row>
    <row r="5" spans="2:22" ht="13" customHeight="1" x14ac:dyDescent="0.15">
      <c r="B5" s="72"/>
      <c r="C5" s="73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 t="s">
        <v>465</v>
      </c>
      <c r="V5" s="75"/>
    </row>
    <row r="6" spans="2:22" ht="13" customHeight="1" x14ac:dyDescent="0.15"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5"/>
    </row>
    <row r="7" spans="2:22" ht="13" customHeight="1" x14ac:dyDescent="0.15">
      <c r="B7" s="72"/>
      <c r="C7" s="76"/>
      <c r="D7" s="77" t="s">
        <v>438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5"/>
    </row>
    <row r="8" spans="2:22" ht="13" customHeight="1" x14ac:dyDescent="0.15">
      <c r="B8" s="72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5"/>
    </row>
    <row r="9" spans="2:22" ht="15" customHeight="1" x14ac:dyDescent="0.15">
      <c r="B9" s="2"/>
      <c r="C9" s="12"/>
      <c r="V9" s="22"/>
    </row>
    <row r="10" spans="2:22" ht="15" customHeight="1" x14ac:dyDescent="0.15">
      <c r="B10" s="2"/>
      <c r="C10" s="12" t="s">
        <v>379</v>
      </c>
      <c r="V10" s="22"/>
    </row>
    <row r="11" spans="2:22" ht="15" customHeight="1" thickBot="1" x14ac:dyDescent="0.2">
      <c r="B11" s="2"/>
      <c r="C11" s="12"/>
      <c r="P11" s="11"/>
      <c r="Q11" s="11"/>
      <c r="R11" s="11"/>
      <c r="S11" s="11"/>
      <c r="T11" s="11"/>
      <c r="U11" s="11" t="s">
        <v>39</v>
      </c>
      <c r="V11" s="22"/>
    </row>
    <row r="12" spans="2:22" ht="15" customHeight="1" thickBot="1" x14ac:dyDescent="0.2">
      <c r="B12" s="2"/>
      <c r="C12" s="477" t="s">
        <v>378</v>
      </c>
      <c r="D12" s="477" t="s">
        <v>68</v>
      </c>
      <c r="E12" s="477" t="s">
        <v>363</v>
      </c>
      <c r="F12" s="477" t="s">
        <v>374</v>
      </c>
      <c r="G12" s="477" t="s">
        <v>0</v>
      </c>
      <c r="H12" s="481" t="s">
        <v>7</v>
      </c>
      <c r="I12" s="481"/>
      <c r="J12" s="481"/>
      <c r="K12" s="481"/>
      <c r="L12" s="481"/>
      <c r="M12" s="481"/>
      <c r="N12" s="481"/>
      <c r="O12" s="477" t="s">
        <v>66</v>
      </c>
      <c r="P12" s="477" t="s">
        <v>40</v>
      </c>
      <c r="Q12" s="477" t="s">
        <v>360</v>
      </c>
      <c r="R12" s="477" t="s">
        <v>361</v>
      </c>
      <c r="S12" s="477" t="s">
        <v>362</v>
      </c>
      <c r="T12" s="477" t="s">
        <v>44</v>
      </c>
      <c r="U12" s="477" t="s">
        <v>46</v>
      </c>
      <c r="V12" s="22"/>
    </row>
    <row r="13" spans="2:22" ht="39" customHeight="1" thickBot="1" x14ac:dyDescent="0.2">
      <c r="B13" s="2"/>
      <c r="C13" s="478"/>
      <c r="D13" s="478"/>
      <c r="E13" s="478"/>
      <c r="F13" s="478"/>
      <c r="G13" s="478"/>
      <c r="H13" s="295" t="s">
        <v>1</v>
      </c>
      <c r="I13" s="26" t="s">
        <v>2</v>
      </c>
      <c r="J13" s="26" t="s">
        <v>3</v>
      </c>
      <c r="K13" s="26" t="s">
        <v>4</v>
      </c>
      <c r="L13" s="26" t="s">
        <v>5</v>
      </c>
      <c r="M13" s="26" t="s">
        <v>67</v>
      </c>
      <c r="N13" s="26" t="s">
        <v>6</v>
      </c>
      <c r="O13" s="478"/>
      <c r="P13" s="478"/>
      <c r="Q13" s="478"/>
      <c r="R13" s="478"/>
      <c r="S13" s="478"/>
      <c r="T13" s="478"/>
      <c r="U13" s="478"/>
      <c r="V13" s="22"/>
    </row>
    <row r="14" spans="2:22" ht="18" customHeight="1" x14ac:dyDescent="0.15">
      <c r="B14" s="2"/>
      <c r="C14" s="14" t="s">
        <v>26</v>
      </c>
      <c r="D14" s="60">
        <v>15463889</v>
      </c>
      <c r="E14" s="274">
        <v>791.53200825348995</v>
      </c>
      <c r="F14" s="274">
        <v>140.49770758542002</v>
      </c>
      <c r="G14" s="274">
        <v>435.10231410983999</v>
      </c>
      <c r="H14" s="274">
        <v>40.650380882069996</v>
      </c>
      <c r="I14" s="274">
        <v>22.306256215200001</v>
      </c>
      <c r="J14" s="274">
        <v>12.557499632899999</v>
      </c>
      <c r="K14" s="274">
        <v>30.321002491520002</v>
      </c>
      <c r="L14" s="274">
        <v>11.4503153871</v>
      </c>
      <c r="M14" s="274">
        <v>12.510011707829999</v>
      </c>
      <c r="N14" s="274">
        <v>55.606260967420013</v>
      </c>
      <c r="O14" s="274">
        <v>610.61016078603006</v>
      </c>
      <c r="P14" s="274">
        <v>73.492952610540002</v>
      </c>
      <c r="Q14" s="274">
        <v>73.810622059739998</v>
      </c>
      <c r="R14" s="274">
        <v>8.7446327882000006</v>
      </c>
      <c r="S14" s="274">
        <v>10.00875517513</v>
      </c>
      <c r="T14" s="274">
        <v>4199.2762447064706</v>
      </c>
      <c r="U14" s="274">
        <v>367.05106812267002</v>
      </c>
      <c r="V14" s="88">
        <v>2</v>
      </c>
    </row>
    <row r="15" spans="2:22" ht="18" customHeight="1" x14ac:dyDescent="0.15">
      <c r="B15" s="2"/>
      <c r="C15" s="23" t="s">
        <v>27</v>
      </c>
      <c r="D15" s="289">
        <v>11022806</v>
      </c>
      <c r="E15" s="275">
        <v>501.33987653103998</v>
      </c>
      <c r="F15" s="275">
        <v>66.831348945930003</v>
      </c>
      <c r="G15" s="275">
        <v>196.95598679083</v>
      </c>
      <c r="H15" s="275">
        <v>21.697521733830001</v>
      </c>
      <c r="I15" s="275">
        <v>8.0683288718400004</v>
      </c>
      <c r="J15" s="275">
        <v>6.38113881629</v>
      </c>
      <c r="K15" s="275">
        <v>20.68646093573</v>
      </c>
      <c r="L15" s="275">
        <v>5.6373983058999997</v>
      </c>
      <c r="M15" s="275">
        <v>0.43004963148000003</v>
      </c>
      <c r="N15" s="275">
        <v>46.750237587830007</v>
      </c>
      <c r="O15" s="275">
        <v>393.64754740757996</v>
      </c>
      <c r="P15" s="275">
        <v>40.716076548329994</v>
      </c>
      <c r="Q15" s="275">
        <v>40.966948792060002</v>
      </c>
      <c r="R15" s="275">
        <v>5.8153189679799997</v>
      </c>
      <c r="S15" s="275">
        <v>6.4900133470299997</v>
      </c>
      <c r="T15" s="275">
        <v>1625.3448586801501</v>
      </c>
      <c r="U15" s="275">
        <v>141.74973178160002</v>
      </c>
      <c r="V15" s="88">
        <v>5</v>
      </c>
    </row>
    <row r="16" spans="2:22" ht="18" customHeight="1" thickBot="1" x14ac:dyDescent="0.2">
      <c r="B16" s="2"/>
      <c r="C16" s="192" t="s">
        <v>82</v>
      </c>
      <c r="D16" s="193">
        <v>7721</v>
      </c>
      <c r="E16" s="276">
        <v>0.33341690839000004</v>
      </c>
      <c r="F16" s="276">
        <v>3.2392331610000005E-2</v>
      </c>
      <c r="G16" s="276">
        <v>0.11296079970999999</v>
      </c>
      <c r="H16" s="276">
        <v>1.507566952E-2</v>
      </c>
      <c r="I16" s="276">
        <v>1.05452004E-2</v>
      </c>
      <c r="J16" s="276">
        <v>6.0662446700000001E-3</v>
      </c>
      <c r="K16" s="276">
        <v>1.2235282159999999E-2</v>
      </c>
      <c r="L16" s="276">
        <v>2.69281323E-3</v>
      </c>
      <c r="M16" s="276">
        <v>3.8445717499999998E-3</v>
      </c>
      <c r="N16" s="276">
        <v>2.9270377890000011E-2</v>
      </c>
      <c r="O16" s="276">
        <v>0.25424645669999996</v>
      </c>
      <c r="P16" s="276">
        <v>2.335986558E-2</v>
      </c>
      <c r="Q16" s="276">
        <v>2.4814267809999999E-2</v>
      </c>
      <c r="R16" s="276">
        <v>3.12573058E-3</v>
      </c>
      <c r="S16" s="276">
        <v>4.7599765000000006E-3</v>
      </c>
      <c r="T16" s="276">
        <v>0.85659564903999996</v>
      </c>
      <c r="U16" s="276">
        <v>9.7649573170000004E-2</v>
      </c>
      <c r="V16" s="88">
        <v>8</v>
      </c>
    </row>
    <row r="17" spans="1:22" ht="17.25" customHeight="1" thickBot="1" x14ac:dyDescent="0.2">
      <c r="B17" s="2"/>
      <c r="C17" s="15" t="s">
        <v>64</v>
      </c>
      <c r="D17" s="292">
        <v>26494416</v>
      </c>
      <c r="E17" s="293">
        <v>1293.2053016929199</v>
      </c>
      <c r="F17" s="293">
        <v>207.36144886296003</v>
      </c>
      <c r="G17" s="293">
        <v>632.17126170038</v>
      </c>
      <c r="H17" s="293">
        <v>62.362978285419999</v>
      </c>
      <c r="I17" s="293">
        <v>30.385130287440003</v>
      </c>
      <c r="J17" s="293">
        <v>18.944704693859997</v>
      </c>
      <c r="K17" s="293">
        <v>51.019698709410001</v>
      </c>
      <c r="L17" s="293">
        <v>17.090406506229996</v>
      </c>
      <c r="M17" s="293">
        <v>12.943905911059998</v>
      </c>
      <c r="N17" s="293">
        <v>102.38576893314003</v>
      </c>
      <c r="O17" s="293">
        <v>1004.51195465031</v>
      </c>
      <c r="P17" s="293">
        <v>114.23238902445</v>
      </c>
      <c r="Q17" s="293">
        <v>114.80238511960999</v>
      </c>
      <c r="R17" s="293">
        <v>14.563077486760001</v>
      </c>
      <c r="S17" s="293">
        <v>16.50352849866</v>
      </c>
      <c r="T17" s="293">
        <v>5825.4776990356604</v>
      </c>
      <c r="U17" s="293">
        <v>508.89844947744001</v>
      </c>
      <c r="V17" s="22"/>
    </row>
    <row r="18" spans="1:22" ht="17.25" customHeight="1" x14ac:dyDescent="0.15">
      <c r="A18" s="2"/>
      <c r="B18" s="2"/>
      <c r="C18" s="18"/>
      <c r="D18" s="403">
        <f>D15/D17</f>
        <v>0.41604261063916259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2"/>
    </row>
    <row r="19" spans="1:22" x14ac:dyDescent="0.15">
      <c r="B19" s="121"/>
      <c r="D19" s="1">
        <f>D18*0.53</f>
        <v>0.22050258363875619</v>
      </c>
      <c r="E19" s="1">
        <f>D15*0.53</f>
        <v>5842087.1800000006</v>
      </c>
      <c r="V19" s="22"/>
    </row>
    <row r="20" spans="1:22" x14ac:dyDescent="0.15">
      <c r="B20" s="121"/>
      <c r="C20" s="18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2"/>
    </row>
    <row r="21" spans="1:22" x14ac:dyDescent="0.15">
      <c r="B21" s="121"/>
      <c r="V21" s="22"/>
    </row>
    <row r="22" spans="1:22" x14ac:dyDescent="0.15">
      <c r="B22" s="121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22"/>
    </row>
    <row r="23" spans="1:22" x14ac:dyDescent="0.15">
      <c r="B23" s="121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22"/>
    </row>
    <row r="24" spans="1:22" x14ac:dyDescent="0.15">
      <c r="B24" s="121"/>
      <c r="V24" s="22"/>
    </row>
    <row r="25" spans="1:22" x14ac:dyDescent="0.15">
      <c r="B25" s="121"/>
      <c r="V25" s="22"/>
    </row>
    <row r="26" spans="1:22" x14ac:dyDescent="0.15">
      <c r="B26" s="121"/>
      <c r="V26" s="22"/>
    </row>
    <row r="27" spans="1:22" x14ac:dyDescent="0.15">
      <c r="B27" s="121"/>
      <c r="V27" s="22"/>
    </row>
    <row r="28" spans="1:22" x14ac:dyDescent="0.15">
      <c r="B28" s="179"/>
      <c r="V28" s="22"/>
    </row>
    <row r="29" spans="1:22" ht="22.5" customHeight="1" x14ac:dyDescent="0.15">
      <c r="B29" s="138"/>
      <c r="V29" s="22"/>
    </row>
    <row r="30" spans="1:22" ht="14.25" customHeight="1" x14ac:dyDescent="0.15">
      <c r="B30" s="121"/>
      <c r="V30" s="22"/>
    </row>
    <row r="31" spans="1:22" ht="60" customHeight="1" x14ac:dyDescent="0.15">
      <c r="B31" s="121"/>
      <c r="V31" s="22"/>
    </row>
    <row r="32" spans="1:22" x14ac:dyDescent="0.15">
      <c r="B32" s="121"/>
      <c r="V32" s="22"/>
    </row>
    <row r="33" spans="2:22" x14ac:dyDescent="0.15">
      <c r="B33" s="121"/>
      <c r="V33" s="22"/>
    </row>
    <row r="34" spans="2:22" x14ac:dyDescent="0.15">
      <c r="B34" s="121"/>
      <c r="V34" s="22"/>
    </row>
    <row r="35" spans="2:22" x14ac:dyDescent="0.15">
      <c r="B35" s="121"/>
      <c r="V35" s="22"/>
    </row>
    <row r="36" spans="2:22" x14ac:dyDescent="0.15">
      <c r="B36" s="121"/>
      <c r="V36" s="22"/>
    </row>
    <row r="37" spans="2:22" x14ac:dyDescent="0.15">
      <c r="B37" s="121"/>
      <c r="C37" s="9"/>
      <c r="V37" s="22"/>
    </row>
    <row r="38" spans="2:22" x14ac:dyDescent="0.15">
      <c r="B38" s="121"/>
      <c r="V38" s="22"/>
    </row>
    <row r="39" spans="2:22" x14ac:dyDescent="0.15">
      <c r="B39" s="121"/>
      <c r="V39" s="22"/>
    </row>
    <row r="40" spans="2:22" x14ac:dyDescent="0.15">
      <c r="B40" s="121"/>
      <c r="V40" s="22"/>
    </row>
    <row r="41" spans="2:22" x14ac:dyDescent="0.15">
      <c r="B41" s="121"/>
      <c r="V41" s="22"/>
    </row>
    <row r="42" spans="2:22" ht="14" thickBot="1" x14ac:dyDescent="0.2">
      <c r="B42" s="28"/>
      <c r="C42" s="29"/>
      <c r="D42" s="30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182"/>
      <c r="R42" s="182"/>
      <c r="S42" s="182"/>
      <c r="T42" s="31"/>
      <c r="U42" s="31"/>
      <c r="V42" s="27"/>
    </row>
  </sheetData>
  <sheetProtection selectLockedCells="1" selectUnlockedCells="1"/>
  <mergeCells count="13">
    <mergeCell ref="H12:N12"/>
    <mergeCell ref="O12:O13"/>
    <mergeCell ref="P12:P13"/>
    <mergeCell ref="C12:C13"/>
    <mergeCell ref="D12:D13"/>
    <mergeCell ref="E12:E13"/>
    <mergeCell ref="F12:F13"/>
    <mergeCell ref="G12:G13"/>
    <mergeCell ref="T12:T13"/>
    <mergeCell ref="U12:U13"/>
    <mergeCell ref="Q12:Q13"/>
    <mergeCell ref="R12:R13"/>
    <mergeCell ref="S12:S13"/>
  </mergeCells>
  <printOptions horizontalCentered="1"/>
  <pageMargins left="0.39370078740157483" right="0.39370078740157483" top="0.59055118110236227" bottom="0.59055118110236227" header="0.51181102362204722" footer="0.31496062992125984"/>
  <pageSetup paperSize="9" scale="76" firstPageNumber="0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pageSetUpPr fitToPage="1"/>
  </sheetPr>
  <dimension ref="A3:V45"/>
  <sheetViews>
    <sheetView showGridLines="0" workbookViewId="0">
      <selection activeCell="I30" sqref="I30"/>
    </sheetView>
  </sheetViews>
  <sheetFormatPr baseColWidth="10" defaultColWidth="8.83203125" defaultRowHeight="13" x14ac:dyDescent="0.15"/>
  <cols>
    <col min="1" max="2" width="3.33203125" style="1" customWidth="1"/>
    <col min="3" max="3" width="13.6640625" style="1" customWidth="1"/>
    <col min="4" max="4" width="11.6640625" style="1" customWidth="1"/>
    <col min="5" max="5" width="9.6640625" style="1" customWidth="1"/>
    <col min="6" max="19" width="8.6640625" style="1" customWidth="1"/>
    <col min="20" max="21" width="9.6640625" style="1" customWidth="1"/>
    <col min="22" max="22" width="3.33203125" style="1" customWidth="1"/>
    <col min="23" max="23" width="8.83203125" style="1"/>
    <col min="24" max="24" width="11" style="1" customWidth="1"/>
    <col min="25" max="25" width="10.5" style="1" customWidth="1"/>
    <col min="26" max="30" width="8.83203125" style="1"/>
    <col min="31" max="31" width="13.5" style="1" customWidth="1"/>
    <col min="32" max="32" width="13" style="1" customWidth="1"/>
    <col min="33" max="16384" width="8.83203125" style="1"/>
  </cols>
  <sheetData>
    <row r="3" spans="1:22" ht="14" thickBot="1" x14ac:dyDescent="0.2">
      <c r="B3" s="184">
        <v>2.5</v>
      </c>
      <c r="C3" s="9">
        <v>13</v>
      </c>
      <c r="D3" s="9">
        <v>11</v>
      </c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4">
        <v>2.5</v>
      </c>
    </row>
    <row r="4" spans="1:22" ht="13" customHeight="1" x14ac:dyDescent="0.15">
      <c r="B4" s="69"/>
      <c r="C4" s="79"/>
      <c r="D4" s="80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2"/>
    </row>
    <row r="5" spans="1:22" ht="13" customHeight="1" x14ac:dyDescent="0.15">
      <c r="B5" s="72"/>
      <c r="C5" s="83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74" t="s">
        <v>464</v>
      </c>
      <c r="V5" s="75"/>
    </row>
    <row r="6" spans="1:22" ht="13" customHeight="1" x14ac:dyDescent="0.15">
      <c r="B6" s="72"/>
      <c r="C6" s="83"/>
      <c r="D6" s="85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75"/>
    </row>
    <row r="7" spans="1:22" ht="13" customHeight="1" x14ac:dyDescent="0.15">
      <c r="B7" s="72"/>
      <c r="C7" s="83"/>
      <c r="D7" s="77" t="s">
        <v>438</v>
      </c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7"/>
      <c r="V7" s="75"/>
    </row>
    <row r="8" spans="1:22" ht="13" customHeight="1" x14ac:dyDescent="0.15">
      <c r="A8" s="2"/>
      <c r="B8" s="72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75"/>
    </row>
    <row r="9" spans="1:22" ht="15" customHeight="1" x14ac:dyDescent="0.15">
      <c r="B9" s="2"/>
      <c r="C9" s="18"/>
      <c r="D9" s="19"/>
      <c r="E9" s="20"/>
      <c r="F9" s="20"/>
      <c r="G9" s="20"/>
      <c r="H9" s="20"/>
      <c r="I9" s="20"/>
      <c r="J9" s="20"/>
      <c r="K9" s="19"/>
      <c r="L9" s="20"/>
      <c r="M9" s="20"/>
      <c r="N9" s="20"/>
      <c r="O9" s="20"/>
      <c r="P9" s="20"/>
      <c r="Q9" s="20"/>
      <c r="R9" s="20"/>
      <c r="S9" s="20"/>
      <c r="T9" s="20"/>
      <c r="U9" s="20"/>
      <c r="V9" s="22"/>
    </row>
    <row r="10" spans="1:22" ht="15" customHeight="1" x14ac:dyDescent="0.15">
      <c r="B10" s="2"/>
      <c r="C10" s="12" t="s">
        <v>23</v>
      </c>
      <c r="V10" s="22"/>
    </row>
    <row r="11" spans="1:22" ht="15" customHeight="1" thickBot="1" x14ac:dyDescent="0.2">
      <c r="B11" s="2"/>
      <c r="C11" s="12"/>
      <c r="S11" s="11"/>
      <c r="T11" s="11"/>
      <c r="U11" s="11" t="s">
        <v>39</v>
      </c>
      <c r="V11" s="22"/>
    </row>
    <row r="12" spans="1:22" ht="15" customHeight="1" thickBot="1" x14ac:dyDescent="0.2">
      <c r="B12" s="2"/>
      <c r="C12" s="477" t="s">
        <v>12</v>
      </c>
      <c r="D12" s="477" t="s">
        <v>68</v>
      </c>
      <c r="E12" s="477" t="s">
        <v>363</v>
      </c>
      <c r="F12" s="477" t="s">
        <v>374</v>
      </c>
      <c r="G12" s="477" t="s">
        <v>0</v>
      </c>
      <c r="H12" s="481" t="s">
        <v>7</v>
      </c>
      <c r="I12" s="481"/>
      <c r="J12" s="481"/>
      <c r="K12" s="481"/>
      <c r="L12" s="481"/>
      <c r="M12" s="481"/>
      <c r="N12" s="481"/>
      <c r="O12" s="477" t="s">
        <v>66</v>
      </c>
      <c r="P12" s="477" t="s">
        <v>40</v>
      </c>
      <c r="Q12" s="477" t="s">
        <v>360</v>
      </c>
      <c r="R12" s="477" t="s">
        <v>361</v>
      </c>
      <c r="S12" s="477" t="s">
        <v>362</v>
      </c>
      <c r="T12" s="477" t="s">
        <v>44</v>
      </c>
      <c r="U12" s="477" t="s">
        <v>46</v>
      </c>
      <c r="V12" s="22"/>
    </row>
    <row r="13" spans="1:22" ht="39" customHeight="1" thickBot="1" x14ac:dyDescent="0.2">
      <c r="B13" s="2"/>
      <c r="C13" s="478"/>
      <c r="D13" s="478"/>
      <c r="E13" s="478"/>
      <c r="F13" s="478"/>
      <c r="G13" s="478"/>
      <c r="H13" s="26" t="s">
        <v>1</v>
      </c>
      <c r="I13" s="26" t="s">
        <v>2</v>
      </c>
      <c r="J13" s="26" t="s">
        <v>3</v>
      </c>
      <c r="K13" s="26" t="s">
        <v>4</v>
      </c>
      <c r="L13" s="26" t="s">
        <v>5</v>
      </c>
      <c r="M13" s="26" t="s">
        <v>67</v>
      </c>
      <c r="N13" s="26" t="s">
        <v>6</v>
      </c>
      <c r="O13" s="478"/>
      <c r="P13" s="478"/>
      <c r="Q13" s="478"/>
      <c r="R13" s="478"/>
      <c r="S13" s="478"/>
      <c r="T13" s="478"/>
      <c r="U13" s="478"/>
      <c r="V13" s="22"/>
    </row>
    <row r="14" spans="1:22" ht="18" customHeight="1" x14ac:dyDescent="0.15">
      <c r="B14" s="2"/>
      <c r="C14" s="14" t="s">
        <v>366</v>
      </c>
      <c r="D14" s="290">
        <v>46756</v>
      </c>
      <c r="E14" s="291">
        <v>1.18486520547</v>
      </c>
      <c r="F14" s="291">
        <v>0.31801989399999997</v>
      </c>
      <c r="G14" s="291">
        <v>0.80605356794000005</v>
      </c>
      <c r="H14" s="66">
        <v>1.0933703199999999E-2</v>
      </c>
      <c r="I14" s="66">
        <v>9.9261084E-4</v>
      </c>
      <c r="J14" s="66">
        <v>8.4002165599999998E-3</v>
      </c>
      <c r="K14" s="66">
        <v>9.7174761800000002E-3</v>
      </c>
      <c r="L14" s="66">
        <v>1.053638533E-2</v>
      </c>
      <c r="M14" s="66">
        <v>3.6039811E-4</v>
      </c>
      <c r="N14" s="66">
        <v>0.18543242816</v>
      </c>
      <c r="O14" s="66">
        <v>0.96005731247000003</v>
      </c>
      <c r="P14" s="66">
        <v>5.4870774220000001E-2</v>
      </c>
      <c r="Q14" s="66">
        <v>4.5556101549999999E-2</v>
      </c>
      <c r="R14" s="66">
        <v>1.709603203E-2</v>
      </c>
      <c r="S14" s="66">
        <v>1.7472457109999999E-2</v>
      </c>
      <c r="T14" s="66">
        <v>4.7203810171400011</v>
      </c>
      <c r="U14" s="66">
        <v>0.20881176236999999</v>
      </c>
      <c r="V14" s="88">
        <v>2</v>
      </c>
    </row>
    <row r="15" spans="1:22" ht="18" customHeight="1" x14ac:dyDescent="0.15">
      <c r="B15" s="2"/>
      <c r="C15" s="23" t="s">
        <v>367</v>
      </c>
      <c r="D15" s="324">
        <v>2904484</v>
      </c>
      <c r="E15" s="325">
        <v>92.165967904599995</v>
      </c>
      <c r="F15" s="325">
        <v>9.6842235957599989</v>
      </c>
      <c r="G15" s="325">
        <v>24.672268955869999</v>
      </c>
      <c r="H15" s="61">
        <v>2.8146574544800003</v>
      </c>
      <c r="I15" s="61">
        <v>1.1703005622</v>
      </c>
      <c r="J15" s="61">
        <v>1.0300317154600001</v>
      </c>
      <c r="K15" s="61">
        <v>1.2483156291400002</v>
      </c>
      <c r="L15" s="61">
        <v>0.63315374630999999</v>
      </c>
      <c r="M15" s="61">
        <v>0.12495034754999999</v>
      </c>
      <c r="N15" s="61">
        <v>12.619790668190003</v>
      </c>
      <c r="O15" s="61">
        <v>72.930258484350006</v>
      </c>
      <c r="P15" s="61">
        <v>3.7469371522100001</v>
      </c>
      <c r="Q15" s="61">
        <v>4.4834736916200004</v>
      </c>
      <c r="R15" s="61">
        <v>0.40606149612000003</v>
      </c>
      <c r="S15" s="61">
        <v>1.19231010811</v>
      </c>
      <c r="T15" s="61">
        <v>157.41837403989001</v>
      </c>
      <c r="U15" s="61">
        <v>29.185611439950002</v>
      </c>
      <c r="V15" s="88">
        <v>5</v>
      </c>
    </row>
    <row r="16" spans="1:22" ht="18" customHeight="1" x14ac:dyDescent="0.15">
      <c r="B16" s="2"/>
      <c r="C16" s="23" t="s">
        <v>368</v>
      </c>
      <c r="D16" s="324">
        <v>6647919</v>
      </c>
      <c r="E16" s="325">
        <v>295.02300425779003</v>
      </c>
      <c r="F16" s="325">
        <v>33.710223834169994</v>
      </c>
      <c r="G16" s="325">
        <v>95.200337341309989</v>
      </c>
      <c r="H16" s="61">
        <v>14.434630852629999</v>
      </c>
      <c r="I16" s="61">
        <v>8.7143204192399999</v>
      </c>
      <c r="J16" s="61">
        <v>5.3318545438199996</v>
      </c>
      <c r="K16" s="61">
        <v>8.1708273274999996</v>
      </c>
      <c r="L16" s="61">
        <v>3.2893268119499997</v>
      </c>
      <c r="M16" s="61">
        <v>1.6725139945399998</v>
      </c>
      <c r="N16" s="61">
        <v>26.258525903230002</v>
      </c>
      <c r="O16" s="61">
        <v>228.25874007828</v>
      </c>
      <c r="P16" s="61">
        <v>21.387965970610001</v>
      </c>
      <c r="Q16" s="61">
        <v>23.352481914089999</v>
      </c>
      <c r="R16" s="61">
        <v>1.8181415888300001</v>
      </c>
      <c r="S16" s="61">
        <v>3.9932937744799997</v>
      </c>
      <c r="T16" s="61">
        <v>718.04547170019998</v>
      </c>
      <c r="U16" s="61">
        <v>118.79981871765</v>
      </c>
      <c r="V16" s="88">
        <v>8</v>
      </c>
    </row>
    <row r="17" spans="2:22" ht="18" customHeight="1" x14ac:dyDescent="0.15">
      <c r="B17" s="2"/>
      <c r="C17" s="23" t="s">
        <v>369</v>
      </c>
      <c r="D17" s="324">
        <v>6017509</v>
      </c>
      <c r="E17" s="325">
        <v>304.59530047701003</v>
      </c>
      <c r="F17" s="325">
        <v>40.555736196399998</v>
      </c>
      <c r="G17" s="325">
        <v>125.03334981524</v>
      </c>
      <c r="H17" s="61">
        <v>18.44245412822</v>
      </c>
      <c r="I17" s="61">
        <v>11.189501826239999</v>
      </c>
      <c r="J17" s="61">
        <v>7.1898084601100001</v>
      </c>
      <c r="K17" s="61">
        <v>12.25376898823</v>
      </c>
      <c r="L17" s="61">
        <v>4.19388013836</v>
      </c>
      <c r="M17" s="61">
        <v>3.7952153069600003</v>
      </c>
      <c r="N17" s="61">
        <v>18.809653981239997</v>
      </c>
      <c r="O17" s="61">
        <v>230.17531618935999</v>
      </c>
      <c r="P17" s="61">
        <v>25.614178548609999</v>
      </c>
      <c r="Q17" s="61">
        <v>27.287121367300003</v>
      </c>
      <c r="R17" s="61">
        <v>2.3317700781499999</v>
      </c>
      <c r="S17" s="61">
        <v>4.2802611722600004</v>
      </c>
      <c r="T17" s="61">
        <v>1079.92887435538</v>
      </c>
      <c r="U17" s="61">
        <v>115.61025157060001</v>
      </c>
      <c r="V17" s="88">
        <v>11</v>
      </c>
    </row>
    <row r="18" spans="2:22" ht="18" customHeight="1" x14ac:dyDescent="0.15">
      <c r="B18" s="2"/>
      <c r="C18" s="23" t="s">
        <v>370</v>
      </c>
      <c r="D18" s="324">
        <v>5398948</v>
      </c>
      <c r="E18" s="325">
        <v>309.21144127102002</v>
      </c>
      <c r="F18" s="325">
        <v>48.59518839239999</v>
      </c>
      <c r="G18" s="325">
        <v>143.83278832676999</v>
      </c>
      <c r="H18" s="61">
        <v>15.92284815763</v>
      </c>
      <c r="I18" s="61">
        <v>6.58371736488</v>
      </c>
      <c r="J18" s="61">
        <v>4.2114806142800001</v>
      </c>
      <c r="K18" s="61">
        <v>13.32698126392</v>
      </c>
      <c r="L18" s="61">
        <v>3.9956324167899999</v>
      </c>
      <c r="M18" s="61">
        <v>4.00618576915</v>
      </c>
      <c r="N18" s="61">
        <v>21.742082871209995</v>
      </c>
      <c r="O18" s="61">
        <v>240.49175470336002</v>
      </c>
      <c r="P18" s="61">
        <v>30.844366529110001</v>
      </c>
      <c r="Q18" s="61">
        <v>30.325274320439998</v>
      </c>
      <c r="R18" s="61">
        <v>3.9767500553100001</v>
      </c>
      <c r="S18" s="61">
        <v>3.7770501709099999</v>
      </c>
      <c r="T18" s="61">
        <v>1465.7534837350299</v>
      </c>
      <c r="U18" s="61">
        <v>139.54541952599001</v>
      </c>
      <c r="V18" s="88">
        <v>14</v>
      </c>
    </row>
    <row r="19" spans="2:22" ht="18" customHeight="1" x14ac:dyDescent="0.15">
      <c r="B19" s="2"/>
      <c r="C19" s="23" t="s">
        <v>371</v>
      </c>
      <c r="D19" s="324">
        <v>3445439</v>
      </c>
      <c r="E19" s="325">
        <v>191.68186592976002</v>
      </c>
      <c r="F19" s="325">
        <v>41.019600941900002</v>
      </c>
      <c r="G19" s="325">
        <v>121.96772909410001</v>
      </c>
      <c r="H19" s="61">
        <v>7.0482211622499999</v>
      </c>
      <c r="I19" s="61">
        <v>2.0950259007600001</v>
      </c>
      <c r="J19" s="61">
        <v>1.0151967691499999</v>
      </c>
      <c r="K19" s="61">
        <v>9.3426146785000004</v>
      </c>
      <c r="L19" s="61">
        <v>2.8313930778500001</v>
      </c>
      <c r="M19" s="61">
        <v>2.2290402384500001</v>
      </c>
      <c r="N19" s="61">
        <v>15.691977005679995</v>
      </c>
      <c r="O19" s="61">
        <v>152.39491770747003</v>
      </c>
      <c r="P19" s="61">
        <v>20.593819258880004</v>
      </c>
      <c r="Q19" s="61">
        <v>18.645414734260001</v>
      </c>
      <c r="R19" s="61">
        <v>3.7319721181299998</v>
      </c>
      <c r="S19" s="61">
        <v>2.02149369316</v>
      </c>
      <c r="T19" s="61">
        <v>1295.76902670441</v>
      </c>
      <c r="U19" s="61">
        <v>70.408015300860001</v>
      </c>
      <c r="V19" s="88">
        <v>17</v>
      </c>
    </row>
    <row r="20" spans="2:22" ht="18" customHeight="1" x14ac:dyDescent="0.15">
      <c r="B20" s="2"/>
      <c r="C20" s="23" t="s">
        <v>372</v>
      </c>
      <c r="D20" s="324">
        <v>1359605</v>
      </c>
      <c r="E20" s="325">
        <v>65.73563894566</v>
      </c>
      <c r="F20" s="325">
        <v>20.425249020549998</v>
      </c>
      <c r="G20" s="325">
        <v>77.826768383949997</v>
      </c>
      <c r="H20" s="61">
        <v>2.4256069492500001</v>
      </c>
      <c r="I20" s="61">
        <v>0.48341386091999999</v>
      </c>
      <c r="J20" s="61">
        <v>0.13244840669999999</v>
      </c>
      <c r="K20" s="61">
        <v>4.2039533884800004</v>
      </c>
      <c r="L20" s="61">
        <v>1.76434593353</v>
      </c>
      <c r="M20" s="61">
        <v>0.86483274492000006</v>
      </c>
      <c r="N20" s="61">
        <v>4.7037425361199983</v>
      </c>
      <c r="O20" s="61">
        <v>51.995701285529996</v>
      </c>
      <c r="P20" s="61">
        <v>7.6563706288200013</v>
      </c>
      <c r="Q20" s="61">
        <v>6.8224272364200012</v>
      </c>
      <c r="R20" s="61">
        <v>1.4457790881600001</v>
      </c>
      <c r="S20" s="61">
        <v>0.75531467230999993</v>
      </c>
      <c r="T20" s="61">
        <v>705.42912955270003</v>
      </c>
      <c r="U20" s="61">
        <v>25.257120095280001</v>
      </c>
      <c r="V20" s="88">
        <v>20</v>
      </c>
    </row>
    <row r="21" spans="2:22" ht="18" customHeight="1" thickBot="1" x14ac:dyDescent="0.2">
      <c r="B21" s="2"/>
      <c r="C21" s="192" t="s">
        <v>373</v>
      </c>
      <c r="D21" s="352">
        <v>673756</v>
      </c>
      <c r="E21" s="353">
        <v>33.607217701609997</v>
      </c>
      <c r="F21" s="353">
        <v>13.053206987780001</v>
      </c>
      <c r="G21" s="353">
        <v>42.831966215199998</v>
      </c>
      <c r="H21" s="294">
        <v>1.26362587776</v>
      </c>
      <c r="I21" s="294">
        <v>0.14785774236000002</v>
      </c>
      <c r="J21" s="294">
        <v>2.5483967780000002E-2</v>
      </c>
      <c r="K21" s="294">
        <v>2.46351995746</v>
      </c>
      <c r="L21" s="294">
        <v>0.37213799611000004</v>
      </c>
      <c r="M21" s="294">
        <v>0.25080711138</v>
      </c>
      <c r="N21" s="294">
        <v>2.3745635393100004</v>
      </c>
      <c r="O21" s="294">
        <v>27.30520888949</v>
      </c>
      <c r="P21" s="294">
        <v>4.3338801619899998</v>
      </c>
      <c r="Q21" s="294">
        <v>3.8406357539300005</v>
      </c>
      <c r="R21" s="294">
        <v>0.83550703002999993</v>
      </c>
      <c r="S21" s="294">
        <v>0.46633245031999998</v>
      </c>
      <c r="T21" s="294">
        <v>398.41295793091001</v>
      </c>
      <c r="U21" s="294">
        <v>9.883401064740001</v>
      </c>
      <c r="V21" s="88">
        <v>23</v>
      </c>
    </row>
    <row r="22" spans="2:22" ht="18.75" customHeight="1" thickBot="1" x14ac:dyDescent="0.2">
      <c r="B22" s="2"/>
      <c r="C22" s="15" t="s">
        <v>64</v>
      </c>
      <c r="D22" s="292">
        <v>26494416</v>
      </c>
      <c r="E22" s="293">
        <v>1293.2053016929199</v>
      </c>
      <c r="F22" s="293">
        <v>207.36144886296</v>
      </c>
      <c r="G22" s="293">
        <v>632.17126170038</v>
      </c>
      <c r="H22" s="293">
        <v>62.362978285419999</v>
      </c>
      <c r="I22" s="293">
        <v>30.385130287439999</v>
      </c>
      <c r="J22" s="293">
        <v>18.94470469386</v>
      </c>
      <c r="K22" s="293">
        <v>51.019698709410001</v>
      </c>
      <c r="L22" s="293">
        <v>17.09040650623</v>
      </c>
      <c r="M22" s="293">
        <v>12.94390591106</v>
      </c>
      <c r="N22" s="293">
        <v>102.38576893314</v>
      </c>
      <c r="O22" s="293">
        <v>1004.51195465031</v>
      </c>
      <c r="P22" s="293">
        <v>114.23238902445</v>
      </c>
      <c r="Q22" s="293">
        <v>114.80238511961001</v>
      </c>
      <c r="R22" s="293">
        <v>14.563077486759997</v>
      </c>
      <c r="S22" s="293">
        <v>16.50352849866</v>
      </c>
      <c r="T22" s="293">
        <v>5825.4776990356604</v>
      </c>
      <c r="U22" s="293">
        <v>508.89844947744012</v>
      </c>
      <c r="V22" s="22"/>
    </row>
    <row r="23" spans="2:22" x14ac:dyDescent="0.15">
      <c r="B23" s="2"/>
      <c r="C23" s="18"/>
      <c r="D23" s="19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2"/>
    </row>
    <row r="24" spans="2:22" x14ac:dyDescent="0.15">
      <c r="B24" s="2"/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22"/>
    </row>
    <row r="25" spans="2:22" x14ac:dyDescent="0.15">
      <c r="B25" s="2"/>
      <c r="C25" s="18"/>
      <c r="D25" s="19"/>
      <c r="E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22"/>
    </row>
    <row r="26" spans="2:22" x14ac:dyDescent="0.15">
      <c r="B26" s="2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2"/>
    </row>
    <row r="27" spans="2:22" x14ac:dyDescent="0.15">
      <c r="B27" s="2"/>
      <c r="C27" s="19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2"/>
    </row>
    <row r="28" spans="2:22" x14ac:dyDescent="0.15">
      <c r="B28" s="2"/>
      <c r="C28" s="12"/>
      <c r="S28" s="11"/>
      <c r="T28" s="11"/>
      <c r="U28" s="11"/>
      <c r="V28" s="22"/>
    </row>
    <row r="29" spans="2:22" ht="18" customHeight="1" x14ac:dyDescent="0.15">
      <c r="B29" s="2"/>
      <c r="C29" s="479"/>
      <c r="D29" s="479"/>
      <c r="E29" s="479"/>
      <c r="F29" s="479"/>
      <c r="G29" s="479"/>
      <c r="H29" s="480"/>
      <c r="I29" s="480"/>
      <c r="J29" s="480"/>
      <c r="K29" s="480"/>
      <c r="L29" s="480"/>
      <c r="M29" s="480"/>
      <c r="N29" s="480"/>
      <c r="O29" s="479"/>
      <c r="P29" s="115"/>
      <c r="Q29" s="115"/>
      <c r="R29" s="115"/>
      <c r="S29" s="479"/>
      <c r="T29" s="479"/>
      <c r="U29" s="479"/>
      <c r="V29" s="22"/>
    </row>
    <row r="30" spans="2:22" ht="16.5" customHeight="1" x14ac:dyDescent="0.15">
      <c r="B30" s="2"/>
      <c r="C30" s="479"/>
      <c r="D30" s="479"/>
      <c r="E30" s="479"/>
      <c r="F30" s="479"/>
      <c r="G30" s="479"/>
      <c r="H30" s="115"/>
      <c r="I30" s="115"/>
      <c r="J30" s="115"/>
      <c r="K30" s="115"/>
      <c r="L30" s="115"/>
      <c r="M30" s="115"/>
      <c r="N30" s="115"/>
      <c r="O30" s="479"/>
      <c r="P30" s="115"/>
      <c r="Q30" s="115"/>
      <c r="R30" s="115"/>
      <c r="S30" s="479"/>
      <c r="T30" s="479"/>
      <c r="U30" s="479"/>
      <c r="V30" s="22"/>
    </row>
    <row r="31" spans="2:22" ht="18" customHeight="1" x14ac:dyDescent="0.15">
      <c r="B31" s="2"/>
      <c r="C31" s="122"/>
      <c r="D31" s="123"/>
      <c r="E31" s="124"/>
      <c r="F31" s="124"/>
      <c r="G31" s="124"/>
      <c r="H31" s="125"/>
      <c r="I31" s="125"/>
      <c r="J31" s="125"/>
      <c r="K31" s="125"/>
      <c r="L31" s="125"/>
      <c r="M31" s="125"/>
      <c r="N31" s="125"/>
      <c r="O31" s="124"/>
      <c r="P31" s="124"/>
      <c r="Q31" s="124"/>
      <c r="R31" s="124"/>
      <c r="S31" s="124"/>
      <c r="T31" s="124"/>
      <c r="U31" s="124"/>
      <c r="V31" s="88"/>
    </row>
    <row r="32" spans="2:22" ht="18" customHeight="1" x14ac:dyDescent="0.15">
      <c r="B32" s="2"/>
      <c r="C32" s="122"/>
      <c r="D32" s="123"/>
      <c r="E32" s="124"/>
      <c r="F32" s="124"/>
      <c r="G32" s="124"/>
      <c r="H32" s="125"/>
      <c r="I32" s="125"/>
      <c r="J32" s="125"/>
      <c r="K32" s="125"/>
      <c r="L32" s="125"/>
      <c r="M32" s="125"/>
      <c r="N32" s="125"/>
      <c r="O32" s="124"/>
      <c r="P32" s="124"/>
      <c r="Q32" s="124"/>
      <c r="R32" s="124"/>
      <c r="S32" s="124"/>
      <c r="T32" s="124"/>
      <c r="U32" s="124"/>
      <c r="V32" s="88"/>
    </row>
    <row r="33" spans="2:22" ht="18" customHeight="1" x14ac:dyDescent="0.15">
      <c r="B33" s="2"/>
      <c r="C33" s="122"/>
      <c r="D33" s="123"/>
      <c r="E33" s="124"/>
      <c r="F33" s="124"/>
      <c r="G33" s="124"/>
      <c r="H33" s="125"/>
      <c r="I33" s="125"/>
      <c r="J33" s="125"/>
      <c r="K33" s="125"/>
      <c r="L33" s="125"/>
      <c r="M33" s="125"/>
      <c r="N33" s="125"/>
      <c r="O33" s="124"/>
      <c r="P33" s="124"/>
      <c r="Q33" s="124"/>
      <c r="R33" s="124"/>
      <c r="S33" s="124"/>
      <c r="T33" s="124"/>
      <c r="U33" s="124"/>
      <c r="V33" s="88"/>
    </row>
    <row r="34" spans="2:22" ht="18" customHeight="1" x14ac:dyDescent="0.15">
      <c r="B34" s="2"/>
      <c r="C34" s="122"/>
      <c r="D34" s="123"/>
      <c r="E34" s="124"/>
      <c r="F34" s="124"/>
      <c r="G34" s="124"/>
      <c r="H34" s="125"/>
      <c r="I34" s="125"/>
      <c r="J34" s="125"/>
      <c r="K34" s="125"/>
      <c r="L34" s="125"/>
      <c r="M34" s="125"/>
      <c r="N34" s="125"/>
      <c r="O34" s="124"/>
      <c r="P34" s="124"/>
      <c r="Q34" s="124"/>
      <c r="R34" s="124"/>
      <c r="S34" s="124"/>
      <c r="T34" s="124"/>
      <c r="U34" s="124"/>
      <c r="V34" s="88"/>
    </row>
    <row r="35" spans="2:22" ht="18" customHeight="1" x14ac:dyDescent="0.15">
      <c r="B35" s="2"/>
      <c r="C35" s="122"/>
      <c r="D35" s="123"/>
      <c r="E35" s="124"/>
      <c r="F35" s="124"/>
      <c r="G35" s="124"/>
      <c r="H35" s="125"/>
      <c r="I35" s="125"/>
      <c r="J35" s="125"/>
      <c r="K35" s="125"/>
      <c r="L35" s="125"/>
      <c r="M35" s="125"/>
      <c r="N35" s="125"/>
      <c r="O35" s="124"/>
      <c r="P35" s="124"/>
      <c r="Q35" s="124"/>
      <c r="R35" s="124"/>
      <c r="S35" s="124"/>
      <c r="T35" s="124"/>
      <c r="U35" s="124"/>
      <c r="V35" s="88"/>
    </row>
    <row r="36" spans="2:22" ht="18" customHeight="1" x14ac:dyDescent="0.15">
      <c r="B36" s="2"/>
      <c r="C36" s="122"/>
      <c r="D36" s="123"/>
      <c r="E36" s="124"/>
      <c r="F36" s="124"/>
      <c r="G36" s="124"/>
      <c r="H36" s="125"/>
      <c r="I36" s="125"/>
      <c r="J36" s="125"/>
      <c r="K36" s="125"/>
      <c r="L36" s="125"/>
      <c r="M36" s="125"/>
      <c r="N36" s="125"/>
      <c r="O36" s="124"/>
      <c r="P36" s="124"/>
      <c r="Q36" s="124"/>
      <c r="R36" s="124"/>
      <c r="S36" s="124"/>
      <c r="T36" s="124"/>
      <c r="U36" s="124"/>
      <c r="V36" s="88"/>
    </row>
    <row r="37" spans="2:22" ht="18" customHeight="1" x14ac:dyDescent="0.15">
      <c r="B37" s="2"/>
      <c r="C37" s="187"/>
      <c r="D37" s="123"/>
      <c r="E37" s="124"/>
      <c r="F37" s="124"/>
      <c r="G37" s="124"/>
      <c r="H37" s="125"/>
      <c r="I37" s="125"/>
      <c r="J37" s="125"/>
      <c r="K37" s="125"/>
      <c r="L37" s="125"/>
      <c r="M37" s="125"/>
      <c r="N37" s="125"/>
      <c r="O37" s="124"/>
      <c r="P37" s="124"/>
      <c r="Q37" s="124"/>
      <c r="R37" s="124"/>
      <c r="S37" s="124"/>
      <c r="T37" s="124"/>
      <c r="U37" s="124"/>
      <c r="V37" s="88"/>
    </row>
    <row r="38" spans="2:22" ht="18" customHeight="1" x14ac:dyDescent="0.15">
      <c r="B38" s="2"/>
      <c r="C38" s="122"/>
      <c r="D38" s="123"/>
      <c r="E38" s="124"/>
      <c r="F38" s="124"/>
      <c r="G38" s="124"/>
      <c r="H38" s="125"/>
      <c r="I38" s="125"/>
      <c r="J38" s="125"/>
      <c r="K38" s="125"/>
      <c r="L38" s="125"/>
      <c r="M38" s="125"/>
      <c r="N38" s="125"/>
      <c r="O38" s="124"/>
      <c r="P38" s="124"/>
      <c r="Q38" s="124"/>
      <c r="R38" s="124"/>
      <c r="S38" s="124"/>
      <c r="T38" s="124"/>
      <c r="U38" s="124"/>
      <c r="V38" s="88"/>
    </row>
    <row r="39" spans="2:22" ht="18" customHeight="1" x14ac:dyDescent="0.15">
      <c r="B39" s="2"/>
      <c r="C39" s="122"/>
      <c r="D39" s="123"/>
      <c r="E39" s="124"/>
      <c r="F39" s="124"/>
      <c r="G39" s="124"/>
      <c r="H39" s="125"/>
      <c r="I39" s="125"/>
      <c r="J39" s="125"/>
      <c r="K39" s="125"/>
      <c r="L39" s="125"/>
      <c r="M39" s="125"/>
      <c r="N39" s="125"/>
      <c r="O39" s="124"/>
      <c r="P39" s="124"/>
      <c r="Q39" s="124"/>
      <c r="R39" s="124"/>
      <c r="S39" s="124"/>
      <c r="T39" s="124"/>
      <c r="U39" s="124"/>
      <c r="V39" s="88"/>
    </row>
    <row r="40" spans="2:22" ht="18" customHeight="1" x14ac:dyDescent="0.15">
      <c r="B40" s="2"/>
      <c r="C40" s="122"/>
      <c r="D40" s="123"/>
      <c r="E40" s="124"/>
      <c r="F40" s="124"/>
      <c r="G40" s="124"/>
      <c r="H40" s="125"/>
      <c r="I40" s="125"/>
      <c r="J40" s="125"/>
      <c r="K40" s="125"/>
      <c r="L40" s="125"/>
      <c r="M40" s="125"/>
      <c r="N40" s="125"/>
      <c r="O40" s="124"/>
      <c r="P40" s="124"/>
      <c r="Q40" s="124"/>
      <c r="R40" s="124"/>
      <c r="S40" s="124"/>
      <c r="T40" s="124"/>
      <c r="U40" s="124"/>
      <c r="V40" s="88"/>
    </row>
    <row r="41" spans="2:22" ht="18" customHeight="1" x14ac:dyDescent="0.15">
      <c r="B41" s="2"/>
      <c r="C41" s="122"/>
      <c r="D41" s="123"/>
      <c r="E41" s="124"/>
      <c r="F41" s="124"/>
      <c r="G41" s="124"/>
      <c r="H41" s="125"/>
      <c r="I41" s="125"/>
      <c r="J41" s="125"/>
      <c r="K41" s="125"/>
      <c r="L41" s="125"/>
      <c r="M41" s="125"/>
      <c r="N41" s="125"/>
      <c r="O41" s="124"/>
      <c r="P41" s="124"/>
      <c r="Q41" s="124"/>
      <c r="R41" s="124"/>
      <c r="S41" s="124"/>
      <c r="T41" s="124"/>
      <c r="U41" s="124"/>
      <c r="V41" s="88"/>
    </row>
    <row r="42" spans="2:22" ht="19.5" customHeight="1" x14ac:dyDescent="0.15">
      <c r="B42" s="2"/>
      <c r="C42" s="18"/>
      <c r="D42" s="19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2"/>
    </row>
    <row r="43" spans="2:22" x14ac:dyDescent="0.15">
      <c r="B43" s="2"/>
      <c r="V43" s="22"/>
    </row>
    <row r="44" spans="2:22" ht="12.75" customHeight="1" thickBot="1" x14ac:dyDescent="0.2">
      <c r="B44" s="28"/>
      <c r="C44" s="29"/>
      <c r="D44" s="30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182"/>
      <c r="Q44" s="182"/>
      <c r="R44" s="182"/>
      <c r="S44" s="31"/>
      <c r="T44" s="31"/>
      <c r="U44" s="31"/>
      <c r="V44" s="27"/>
    </row>
    <row r="45" spans="2:22" ht="1" customHeight="1" x14ac:dyDescent="0.15"/>
  </sheetData>
  <mergeCells count="23">
    <mergeCell ref="C29:C30"/>
    <mergeCell ref="D29:D30"/>
    <mergeCell ref="E29:E30"/>
    <mergeCell ref="F29:F30"/>
    <mergeCell ref="C12:C13"/>
    <mergeCell ref="D12:D13"/>
    <mergeCell ref="E12:E13"/>
    <mergeCell ref="F12:F13"/>
    <mergeCell ref="T29:T30"/>
    <mergeCell ref="U29:U30"/>
    <mergeCell ref="T12:T13"/>
    <mergeCell ref="U12:U13"/>
    <mergeCell ref="G29:G30"/>
    <mergeCell ref="H29:N29"/>
    <mergeCell ref="O29:O30"/>
    <mergeCell ref="S29:S30"/>
    <mergeCell ref="O12:O13"/>
    <mergeCell ref="S12:S13"/>
    <mergeCell ref="G12:G13"/>
    <mergeCell ref="H12:N12"/>
    <mergeCell ref="P12:P13"/>
    <mergeCell ref="Q12:Q13"/>
    <mergeCell ref="R12:R13"/>
  </mergeCells>
  <phoneticPr fontId="14" type="noConversion"/>
  <conditionalFormatting sqref="C39:U41">
    <cfRule type="cellIs" dxfId="28" priority="4" operator="equal">
      <formula>0</formula>
    </cfRule>
    <cfRule type="cellIs" dxfId="27" priority="5" stopIfTrue="1" operator="equal">
      <formula>0</formula>
    </cfRule>
    <cfRule type="cellIs" priority="7" stopIfTrue="1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76" firstPageNumber="0" fitToHeight="2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>
    <pageSetUpPr fitToPage="1"/>
  </sheetPr>
  <dimension ref="A3:AG47"/>
  <sheetViews>
    <sheetView showGridLines="0" topLeftCell="A2" zoomScale="90" zoomScaleNormal="90" zoomScalePageLayoutView="90" workbookViewId="0">
      <selection activeCell="H12" sqref="H12:N12"/>
    </sheetView>
  </sheetViews>
  <sheetFormatPr baseColWidth="10" defaultColWidth="8.83203125" defaultRowHeight="13" x14ac:dyDescent="0.15"/>
  <cols>
    <col min="1" max="2" width="3.33203125" style="1" customWidth="1"/>
    <col min="3" max="3" width="29" style="1" customWidth="1"/>
    <col min="4" max="4" width="11.6640625" style="1" customWidth="1"/>
    <col min="5" max="5" width="15.5" style="1" customWidth="1"/>
    <col min="6" max="12" width="8.6640625" style="1" customWidth="1"/>
    <col min="13" max="13" width="9.5" style="1" customWidth="1"/>
    <col min="14" max="19" width="8.6640625" style="1" customWidth="1"/>
    <col min="20" max="21" width="9.6640625" style="1" customWidth="1"/>
    <col min="22" max="22" width="3.33203125" style="1" customWidth="1"/>
    <col min="23" max="23" width="8.83203125" style="1"/>
    <col min="24" max="24" width="7.6640625" style="1" customWidth="1"/>
    <col min="25" max="25" width="12" style="1" customWidth="1"/>
    <col min="26" max="30" width="8.83203125" style="1"/>
    <col min="31" max="31" width="14.5" style="1" customWidth="1"/>
    <col min="32" max="32" width="13.33203125" style="1" customWidth="1"/>
    <col min="33" max="16384" width="8.83203125" style="1"/>
  </cols>
  <sheetData>
    <row r="3" spans="1:25" ht="14" thickBot="1" x14ac:dyDescent="0.2">
      <c r="B3" s="184">
        <v>2.5</v>
      </c>
      <c r="C3" s="9">
        <v>26</v>
      </c>
      <c r="D3" s="9">
        <v>11</v>
      </c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4">
        <v>2.5</v>
      </c>
      <c r="W3" s="9"/>
      <c r="X3" s="9"/>
      <c r="Y3" s="184"/>
    </row>
    <row r="4" spans="1:25" ht="15" customHeight="1" x14ac:dyDescent="0.15">
      <c r="B4" s="69"/>
      <c r="C4" s="79"/>
      <c r="D4" s="80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2"/>
    </row>
    <row r="5" spans="1:25" ht="15" customHeight="1" x14ac:dyDescent="0.15">
      <c r="B5" s="72"/>
      <c r="C5" s="83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74" t="s">
        <v>463</v>
      </c>
      <c r="V5" s="75"/>
    </row>
    <row r="6" spans="1:25" ht="15" customHeight="1" x14ac:dyDescent="0.15">
      <c r="B6" s="72"/>
      <c r="C6" s="83"/>
      <c r="D6" s="85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75"/>
    </row>
    <row r="7" spans="1:25" ht="15" customHeight="1" x14ac:dyDescent="0.15">
      <c r="B7" s="72"/>
      <c r="C7" s="83"/>
      <c r="D7" s="77" t="s">
        <v>438</v>
      </c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7"/>
      <c r="V7" s="75"/>
    </row>
    <row r="8" spans="1:25" ht="15" customHeight="1" x14ac:dyDescent="0.15">
      <c r="A8" s="2"/>
      <c r="B8" s="72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75"/>
    </row>
    <row r="9" spans="1:25" ht="11.25" customHeight="1" x14ac:dyDescent="0.15">
      <c r="B9" s="2"/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2"/>
    </row>
    <row r="10" spans="1:25" ht="15" customHeight="1" x14ac:dyDescent="0.15">
      <c r="B10" s="2"/>
      <c r="C10" s="12" t="s">
        <v>81</v>
      </c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2"/>
    </row>
    <row r="11" spans="1:25" ht="9" customHeight="1" thickBot="1" x14ac:dyDescent="0.2">
      <c r="B11" s="2"/>
      <c r="C11" s="12"/>
      <c r="S11" s="11"/>
      <c r="T11" s="11"/>
      <c r="U11" s="11" t="s">
        <v>39</v>
      </c>
      <c r="V11" s="22"/>
    </row>
    <row r="12" spans="1:25" ht="15" customHeight="1" thickBot="1" x14ac:dyDescent="0.2">
      <c r="B12" s="2"/>
      <c r="C12" s="477" t="s">
        <v>13</v>
      </c>
      <c r="D12" s="477" t="s">
        <v>68</v>
      </c>
      <c r="E12" s="477" t="s">
        <v>363</v>
      </c>
      <c r="F12" s="477" t="s">
        <v>374</v>
      </c>
      <c r="G12" s="477" t="s">
        <v>0</v>
      </c>
      <c r="H12" s="481" t="s">
        <v>7</v>
      </c>
      <c r="I12" s="481"/>
      <c r="J12" s="481"/>
      <c r="K12" s="481"/>
      <c r="L12" s="481"/>
      <c r="M12" s="481"/>
      <c r="N12" s="481"/>
      <c r="O12" s="477" t="s">
        <v>66</v>
      </c>
      <c r="P12" s="477" t="s">
        <v>40</v>
      </c>
      <c r="Q12" s="477" t="s">
        <v>360</v>
      </c>
      <c r="R12" s="477" t="s">
        <v>361</v>
      </c>
      <c r="S12" s="477" t="s">
        <v>362</v>
      </c>
      <c r="T12" s="477" t="s">
        <v>44</v>
      </c>
      <c r="U12" s="477" t="s">
        <v>46</v>
      </c>
      <c r="V12" s="22"/>
    </row>
    <row r="13" spans="1:25" ht="39" customHeight="1" thickBot="1" x14ac:dyDescent="0.2">
      <c r="B13" s="2"/>
      <c r="C13" s="478"/>
      <c r="D13" s="478"/>
      <c r="E13" s="478"/>
      <c r="F13" s="478"/>
      <c r="G13" s="478"/>
      <c r="H13" s="26" t="s">
        <v>1</v>
      </c>
      <c r="I13" s="26" t="s">
        <v>2</v>
      </c>
      <c r="J13" s="26" t="s">
        <v>3</v>
      </c>
      <c r="K13" s="26" t="s">
        <v>4</v>
      </c>
      <c r="L13" s="26" t="s">
        <v>5</v>
      </c>
      <c r="M13" s="26" t="s">
        <v>67</v>
      </c>
      <c r="N13" s="26" t="s">
        <v>6</v>
      </c>
      <c r="O13" s="478"/>
      <c r="P13" s="478"/>
      <c r="Q13" s="478"/>
      <c r="R13" s="478"/>
      <c r="S13" s="478"/>
      <c r="T13" s="478"/>
      <c r="U13" s="478"/>
      <c r="V13" s="22"/>
    </row>
    <row r="14" spans="1:25" ht="18" customHeight="1" x14ac:dyDescent="0.15">
      <c r="B14" s="2"/>
      <c r="C14" s="386" t="s">
        <v>84</v>
      </c>
      <c r="D14" s="313">
        <v>11288770</v>
      </c>
      <c r="E14" s="296">
        <v>191.93559135181999</v>
      </c>
      <c r="F14" s="296">
        <v>41.563157693370002</v>
      </c>
      <c r="G14" s="296">
        <v>252.06299778623003</v>
      </c>
      <c r="H14" s="296">
        <v>8.5481900282699996</v>
      </c>
      <c r="I14" s="296">
        <v>7.0639779838800001</v>
      </c>
      <c r="J14" s="296">
        <v>2.4566185370500002</v>
      </c>
      <c r="K14" s="296">
        <v>8.3465428731200006</v>
      </c>
      <c r="L14" s="296">
        <v>1.9230282752899999</v>
      </c>
      <c r="M14" s="296">
        <v>2.5557398513199998</v>
      </c>
      <c r="N14" s="296">
        <v>24.386834933099994</v>
      </c>
      <c r="O14" s="296">
        <v>143.08811225933999</v>
      </c>
      <c r="P14" s="296">
        <v>9.1647432649999999E-2</v>
      </c>
      <c r="Q14" s="296">
        <v>1.5065232747900001</v>
      </c>
      <c r="R14" s="296">
        <v>1.012916141E-2</v>
      </c>
      <c r="S14" s="296">
        <v>1.4337518022000002</v>
      </c>
      <c r="T14" s="296">
        <v>1710.0562728679802</v>
      </c>
      <c r="U14" s="296">
        <v>158.66112649333002</v>
      </c>
      <c r="V14" s="88">
        <v>2</v>
      </c>
    </row>
    <row r="15" spans="1:25" ht="18" customHeight="1" x14ac:dyDescent="0.15">
      <c r="B15" s="2"/>
      <c r="C15" s="387" t="s">
        <v>424</v>
      </c>
      <c r="D15" s="314">
        <v>5936645</v>
      </c>
      <c r="E15" s="297">
        <v>203.35662441760999</v>
      </c>
      <c r="F15" s="297">
        <v>23.117043985860001</v>
      </c>
      <c r="G15" s="297">
        <v>65.177626936940001</v>
      </c>
      <c r="H15" s="297">
        <v>9.0030228604999998</v>
      </c>
      <c r="I15" s="297">
        <v>8.421638485319999</v>
      </c>
      <c r="J15" s="297">
        <v>4.4659970698700002</v>
      </c>
      <c r="K15" s="297">
        <v>8.2556114885199996</v>
      </c>
      <c r="L15" s="297">
        <v>2.11422576997</v>
      </c>
      <c r="M15" s="297">
        <v>1.7866222899700002</v>
      </c>
      <c r="N15" s="297">
        <v>21.558942952500011</v>
      </c>
      <c r="O15" s="297">
        <v>147.75296354056999</v>
      </c>
      <c r="P15" s="297">
        <v>1.9546285933499998</v>
      </c>
      <c r="Q15" s="297">
        <v>4.1481425397500002</v>
      </c>
      <c r="R15" s="297">
        <v>0.41527883646000002</v>
      </c>
      <c r="S15" s="297">
        <v>2.6382823755099998</v>
      </c>
      <c r="T15" s="297">
        <v>574.98635135873997</v>
      </c>
      <c r="U15" s="297">
        <v>57.581237054820001</v>
      </c>
      <c r="V15" s="88">
        <v>5</v>
      </c>
    </row>
    <row r="16" spans="1:25" ht="18" customHeight="1" x14ac:dyDescent="0.15">
      <c r="B16" s="2"/>
      <c r="C16" s="387" t="s">
        <v>425</v>
      </c>
      <c r="D16" s="314">
        <v>2996197</v>
      </c>
      <c r="E16" s="297">
        <v>143.67125850597</v>
      </c>
      <c r="F16" s="297">
        <v>16.730090489769999</v>
      </c>
      <c r="G16" s="297">
        <v>51.543570293969999</v>
      </c>
      <c r="H16" s="297">
        <v>6.2976371429600002</v>
      </c>
      <c r="I16" s="297">
        <v>4.4759278507200007</v>
      </c>
      <c r="J16" s="297">
        <v>2.9474874270100004</v>
      </c>
      <c r="K16" s="297">
        <v>5.9560763572600006</v>
      </c>
      <c r="L16" s="297">
        <v>1.2849449883800002</v>
      </c>
      <c r="M16" s="297">
        <v>1.2580867137199998</v>
      </c>
      <c r="N16" s="297">
        <v>15.312027121709995</v>
      </c>
      <c r="O16" s="297">
        <v>106.1392344266</v>
      </c>
      <c r="P16" s="297">
        <v>4.3689000007299992</v>
      </c>
      <c r="Q16" s="297">
        <v>5.97408811708</v>
      </c>
      <c r="R16" s="297">
        <v>0.88442355072000001</v>
      </c>
      <c r="S16" s="297">
        <v>2.5484966846999999</v>
      </c>
      <c r="T16" s="297">
        <v>442.69110819570005</v>
      </c>
      <c r="U16" s="297">
        <v>46.764465472959998</v>
      </c>
      <c r="V16" s="88">
        <v>8</v>
      </c>
    </row>
    <row r="17" spans="2:33" ht="18" customHeight="1" x14ac:dyDescent="0.15">
      <c r="B17" s="2"/>
      <c r="C17" s="387" t="s">
        <v>467</v>
      </c>
      <c r="D17" s="314">
        <v>1697756</v>
      </c>
      <c r="E17" s="297">
        <v>103.91497325074999</v>
      </c>
      <c r="F17" s="297">
        <v>12.85134077939</v>
      </c>
      <c r="G17" s="297">
        <v>34.73869010344</v>
      </c>
      <c r="H17" s="297">
        <v>4.1769155498500004</v>
      </c>
      <c r="I17" s="297">
        <v>2.5627292703600002</v>
      </c>
      <c r="J17" s="297">
        <v>1.9757966771600002</v>
      </c>
      <c r="K17" s="297">
        <v>4.30253709642</v>
      </c>
      <c r="L17" s="297">
        <v>0.90302191332000004</v>
      </c>
      <c r="M17" s="297">
        <v>0.96039924660999998</v>
      </c>
      <c r="N17" s="297">
        <v>11.480381151379996</v>
      </c>
      <c r="O17" s="297">
        <v>77.553381121070004</v>
      </c>
      <c r="P17" s="297">
        <v>5.6782599485599992</v>
      </c>
      <c r="Q17" s="297">
        <v>6.5783658102599993</v>
      </c>
      <c r="R17" s="297">
        <v>1.1059359553700001</v>
      </c>
      <c r="S17" s="297">
        <v>2.0772259909900002</v>
      </c>
      <c r="T17" s="297">
        <v>319.02678663688999</v>
      </c>
      <c r="U17" s="297">
        <v>32.842917678479999</v>
      </c>
      <c r="V17" s="88">
        <v>11</v>
      </c>
      <c r="W17" s="117"/>
      <c r="X17" s="118"/>
      <c r="Y17" s="120"/>
      <c r="Z17" s="118"/>
      <c r="AA17" s="118"/>
      <c r="AB17" s="118"/>
      <c r="AC17" s="118"/>
      <c r="AD17" s="118"/>
      <c r="AE17" s="119"/>
      <c r="AF17" s="119"/>
      <c r="AG17" s="177"/>
    </row>
    <row r="18" spans="2:33" ht="18" customHeight="1" thickBot="1" x14ac:dyDescent="0.2">
      <c r="B18" s="2"/>
      <c r="C18" s="388" t="s">
        <v>83</v>
      </c>
      <c r="D18" s="315">
        <v>4575048</v>
      </c>
      <c r="E18" s="298">
        <v>650.32685416677009</v>
      </c>
      <c r="F18" s="298">
        <v>113.09981591457</v>
      </c>
      <c r="G18" s="298">
        <v>228.64837657980001</v>
      </c>
      <c r="H18" s="298">
        <v>34.337212703840002</v>
      </c>
      <c r="I18" s="298">
        <v>7.86085669716</v>
      </c>
      <c r="J18" s="298">
        <v>7.0988049827700008</v>
      </c>
      <c r="K18" s="298">
        <v>24.158930894090002</v>
      </c>
      <c r="L18" s="298">
        <v>10.865185559270001</v>
      </c>
      <c r="M18" s="298">
        <v>6.3830578094400003</v>
      </c>
      <c r="N18" s="298">
        <v>29.647582774449987</v>
      </c>
      <c r="O18" s="298">
        <v>529.97826330273006</v>
      </c>
      <c r="P18" s="298">
        <v>102.13895304915999</v>
      </c>
      <c r="Q18" s="298">
        <v>96.595265377730001</v>
      </c>
      <c r="R18" s="298">
        <v>12.1473099828</v>
      </c>
      <c r="S18" s="298">
        <v>7.8057716452600001</v>
      </c>
      <c r="T18" s="298">
        <v>2778.7171799763501</v>
      </c>
      <c r="U18" s="298">
        <v>213.04870277785</v>
      </c>
      <c r="V18" s="88">
        <v>14</v>
      </c>
      <c r="W18" s="117"/>
      <c r="X18" s="118"/>
      <c r="Y18" s="120"/>
      <c r="Z18" s="118"/>
      <c r="AA18" s="118"/>
      <c r="AB18" s="118"/>
      <c r="AC18" s="118"/>
      <c r="AD18" s="118"/>
      <c r="AE18" s="119"/>
      <c r="AF18" s="119"/>
      <c r="AG18" s="177"/>
    </row>
    <row r="19" spans="2:33" ht="19.5" customHeight="1" thickBot="1" x14ac:dyDescent="0.2">
      <c r="B19" s="2"/>
      <c r="C19" s="15" t="s">
        <v>64</v>
      </c>
      <c r="D19" s="292">
        <v>26494416</v>
      </c>
      <c r="E19" s="293">
        <v>1293.2053016929199</v>
      </c>
      <c r="F19" s="293">
        <v>207.36144886296</v>
      </c>
      <c r="G19" s="293">
        <v>632.17126170038</v>
      </c>
      <c r="H19" s="293">
        <v>62.362978285419999</v>
      </c>
      <c r="I19" s="293">
        <v>30.385130287440003</v>
      </c>
      <c r="J19" s="293">
        <v>18.94470469386</v>
      </c>
      <c r="K19" s="293">
        <v>51.019698709410001</v>
      </c>
      <c r="L19" s="293">
        <v>17.090406506230003</v>
      </c>
      <c r="M19" s="293">
        <v>12.94390591106</v>
      </c>
      <c r="N19" s="293">
        <v>102.38576893313999</v>
      </c>
      <c r="O19" s="293">
        <v>1004.51195465031</v>
      </c>
      <c r="P19" s="293">
        <v>114.23238902444999</v>
      </c>
      <c r="Q19" s="293">
        <v>114.80238511960999</v>
      </c>
      <c r="R19" s="293">
        <v>14.563077486759999</v>
      </c>
      <c r="S19" s="293">
        <v>16.50352849866</v>
      </c>
      <c r="T19" s="293">
        <v>5825.4776990356604</v>
      </c>
      <c r="U19" s="293">
        <v>508.89844947744001</v>
      </c>
      <c r="V19" s="22"/>
    </row>
    <row r="20" spans="2:33" ht="14" thickBot="1" x14ac:dyDescent="0.2">
      <c r="B20" s="2"/>
      <c r="C20" s="78"/>
      <c r="V20" s="22"/>
    </row>
    <row r="21" spans="2:33" x14ac:dyDescent="0.15">
      <c r="B21" s="121"/>
      <c r="C21" s="78">
        <v>0</v>
      </c>
      <c r="D21" s="390">
        <v>11288770</v>
      </c>
      <c r="E21" s="382">
        <v>191.93559135181999</v>
      </c>
      <c r="H21" s="78"/>
      <c r="V21" s="22"/>
    </row>
    <row r="22" spans="2:33" x14ac:dyDescent="0.15">
      <c r="B22" s="121"/>
      <c r="C22" s="78">
        <v>19645.32</v>
      </c>
      <c r="D22" s="391">
        <v>5936645</v>
      </c>
      <c r="E22" s="383">
        <v>203.35662441760999</v>
      </c>
      <c r="H22" s="19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2"/>
    </row>
    <row r="23" spans="2:33" x14ac:dyDescent="0.15">
      <c r="B23" s="121"/>
      <c r="C23" s="78">
        <v>29442</v>
      </c>
      <c r="D23" s="391">
        <v>2996197</v>
      </c>
      <c r="E23" s="383">
        <v>143.67125850597</v>
      </c>
      <c r="H23" s="78"/>
      <c r="V23" s="22"/>
    </row>
    <row r="24" spans="2:33" x14ac:dyDescent="0.15">
      <c r="B24" s="121"/>
      <c r="C24" s="78">
        <v>39256.559999999998</v>
      </c>
      <c r="D24" s="391">
        <v>1697756</v>
      </c>
      <c r="E24" s="383">
        <v>103.91497325074999</v>
      </c>
      <c r="H24" s="78"/>
      <c r="V24" s="22"/>
    </row>
    <row r="25" spans="2:33" ht="14" thickBot="1" x14ac:dyDescent="0.2">
      <c r="B25" s="121"/>
      <c r="C25" s="78">
        <v>49051.8</v>
      </c>
      <c r="D25" s="392">
        <v>4575048</v>
      </c>
      <c r="E25" s="384">
        <v>650.32685416677009</v>
      </c>
      <c r="H25" s="78"/>
      <c r="J25" s="78"/>
      <c r="K25" s="78"/>
      <c r="M25" s="78"/>
      <c r="N25" s="78"/>
      <c r="O25" s="78"/>
      <c r="P25" s="78"/>
      <c r="Q25" s="78"/>
      <c r="R25" s="78"/>
      <c r="S25" s="78"/>
      <c r="T25" s="78"/>
      <c r="U25" s="78"/>
      <c r="V25" s="22"/>
      <c r="Z25" s="118"/>
    </row>
    <row r="26" spans="2:33" x14ac:dyDescent="0.15">
      <c r="B26" s="121"/>
      <c r="C26" s="78">
        <v>0</v>
      </c>
      <c r="D26" s="78">
        <f>D21</f>
        <v>11288770</v>
      </c>
      <c r="E26" s="385">
        <f>E21*1000000</f>
        <v>191935591.35181999</v>
      </c>
      <c r="G26" s="393">
        <f>E26/D26</f>
        <v>17.002347585416302</v>
      </c>
      <c r="V26" s="22"/>
    </row>
    <row r="27" spans="2:33" x14ac:dyDescent="0.15">
      <c r="B27" s="121"/>
      <c r="C27" s="389">
        <f>C22</f>
        <v>19645.32</v>
      </c>
      <c r="D27" s="78">
        <f>D22</f>
        <v>5936645</v>
      </c>
      <c r="E27" s="385">
        <f t="shared" ref="E27:E30" si="0">E22*1000000</f>
        <v>203356624.41760999</v>
      </c>
      <c r="G27" s="393">
        <f>E27/D27</f>
        <v>34.254469387610342</v>
      </c>
      <c r="V27" s="22"/>
    </row>
    <row r="28" spans="2:33" x14ac:dyDescent="0.15">
      <c r="B28" s="121"/>
      <c r="C28" s="389">
        <v>34300</v>
      </c>
      <c r="D28" s="78">
        <f t="shared" ref="D28:D30" si="1">D23</f>
        <v>2996197</v>
      </c>
      <c r="E28" s="385">
        <f t="shared" si="0"/>
        <v>143671258.50597</v>
      </c>
      <c r="G28" s="393">
        <f t="shared" ref="G28:G30" si="2">E28/D28</f>
        <v>47.9512056470152</v>
      </c>
      <c r="V28" s="22"/>
    </row>
    <row r="29" spans="2:33" x14ac:dyDescent="0.15">
      <c r="B29" s="121"/>
      <c r="C29" s="389">
        <v>48000</v>
      </c>
      <c r="D29" s="78">
        <f t="shared" si="1"/>
        <v>1697756</v>
      </c>
      <c r="E29" s="385">
        <f t="shared" si="0"/>
        <v>103914973.25074999</v>
      </c>
      <c r="G29" s="393">
        <f t="shared" si="2"/>
        <v>61.207248421298459</v>
      </c>
      <c r="V29" s="22"/>
    </row>
    <row r="30" spans="2:33" x14ac:dyDescent="0.15">
      <c r="B30" s="121"/>
      <c r="C30" s="389">
        <v>61300</v>
      </c>
      <c r="D30" s="78">
        <f t="shared" si="1"/>
        <v>4575048</v>
      </c>
      <c r="E30" s="385">
        <f t="shared" si="0"/>
        <v>650326854.1667701</v>
      </c>
      <c r="G30" s="393">
        <f t="shared" si="2"/>
        <v>142.14645489331917</v>
      </c>
      <c r="V30" s="22"/>
    </row>
    <row r="31" spans="2:33" x14ac:dyDescent="0.15">
      <c r="B31" s="121"/>
      <c r="D31" s="78"/>
      <c r="V31" s="22"/>
    </row>
    <row r="32" spans="2:33" x14ac:dyDescent="0.15">
      <c r="B32" s="121"/>
      <c r="D32" s="78"/>
      <c r="V32" s="22"/>
    </row>
    <row r="33" spans="2:22" x14ac:dyDescent="0.15">
      <c r="B33" s="179"/>
      <c r="V33" s="22"/>
    </row>
    <row r="34" spans="2:22" x14ac:dyDescent="0.15">
      <c r="B34" s="179"/>
      <c r="V34" s="22"/>
    </row>
    <row r="35" spans="2:22" ht="123.75" customHeight="1" x14ac:dyDescent="0.15">
      <c r="B35" s="179"/>
      <c r="V35" s="22"/>
    </row>
    <row r="36" spans="2:22" x14ac:dyDescent="0.15">
      <c r="B36" s="179"/>
      <c r="V36" s="22"/>
    </row>
    <row r="37" spans="2:22" x14ac:dyDescent="0.15">
      <c r="B37" s="121"/>
      <c r="C37" s="9"/>
      <c r="V37" s="22"/>
    </row>
    <row r="38" spans="2:22" x14ac:dyDescent="0.15">
      <c r="B38" s="121"/>
      <c r="V38" s="22"/>
    </row>
    <row r="39" spans="2:22" x14ac:dyDescent="0.15">
      <c r="B39" s="121"/>
      <c r="V39" s="22"/>
    </row>
    <row r="40" spans="2:22" x14ac:dyDescent="0.15">
      <c r="B40" s="121"/>
      <c r="V40" s="22"/>
    </row>
    <row r="41" spans="2:22" x14ac:dyDescent="0.15">
      <c r="B41" s="121"/>
      <c r="V41" s="22"/>
    </row>
    <row r="42" spans="2:22" x14ac:dyDescent="0.15">
      <c r="B42" s="121"/>
      <c r="V42" s="22"/>
    </row>
    <row r="43" spans="2:22" x14ac:dyDescent="0.15">
      <c r="B43" s="121"/>
      <c r="V43" s="22"/>
    </row>
    <row r="44" spans="2:22" x14ac:dyDescent="0.15">
      <c r="B44" s="121"/>
      <c r="V44" s="22"/>
    </row>
    <row r="45" spans="2:22" ht="15" customHeight="1" x14ac:dyDescent="0.15">
      <c r="B45" s="121"/>
      <c r="V45" s="22"/>
    </row>
    <row r="46" spans="2:22" ht="15" customHeight="1" thickBot="1" x14ac:dyDescent="0.2">
      <c r="B46" s="28"/>
      <c r="C46" s="29"/>
      <c r="D46" s="30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182"/>
      <c r="Q46" s="182"/>
      <c r="R46" s="182"/>
      <c r="S46" s="31"/>
      <c r="T46" s="31"/>
      <c r="U46" s="31"/>
      <c r="V46" s="27"/>
    </row>
    <row r="47" spans="2:22" ht="1" customHeight="1" x14ac:dyDescent="0.15"/>
  </sheetData>
  <mergeCells count="13">
    <mergeCell ref="H12:N12"/>
    <mergeCell ref="O12:O13"/>
    <mergeCell ref="C12:C13"/>
    <mergeCell ref="D12:D13"/>
    <mergeCell ref="E12:E13"/>
    <mergeCell ref="F12:F13"/>
    <mergeCell ref="G12:G13"/>
    <mergeCell ref="S12:S13"/>
    <mergeCell ref="T12:T13"/>
    <mergeCell ref="U12:U13"/>
    <mergeCell ref="P12:P13"/>
    <mergeCell ref="Q12:Q13"/>
    <mergeCell ref="R12:R13"/>
  </mergeCells>
  <conditionalFormatting sqref="K25">
    <cfRule type="cellIs" dxfId="26" priority="14" stopIfTrue="1" operator="equal">
      <formula>0</formula>
    </cfRule>
  </conditionalFormatting>
  <conditionalFormatting sqref="C17:M18 O17:U18">
    <cfRule type="cellIs" dxfId="25" priority="4" operator="equal">
      <formula>0</formula>
    </cfRule>
  </conditionalFormatting>
  <conditionalFormatting sqref="N17:N18">
    <cfRule type="cellIs" dxfId="24" priority="3" operator="equal">
      <formula>0</formula>
    </cfRule>
  </conditionalFormatting>
  <conditionalFormatting sqref="D24:E25">
    <cfRule type="cellIs" dxfId="23" priority="1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70" firstPageNumber="0" fitToHeight="2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G74"/>
  <sheetViews>
    <sheetView showGridLines="0" topLeftCell="A38" workbookViewId="0">
      <selection activeCell="J48" sqref="J48:J58"/>
    </sheetView>
  </sheetViews>
  <sheetFormatPr baseColWidth="10" defaultColWidth="8.83203125" defaultRowHeight="13" x14ac:dyDescent="0.15"/>
  <cols>
    <col min="1" max="1" width="4.1640625" style="1" customWidth="1"/>
    <col min="2" max="2" width="2.33203125" style="1" customWidth="1"/>
    <col min="3" max="3" width="17.6640625" style="1" customWidth="1"/>
    <col min="4" max="4" width="10.5" style="1" customWidth="1"/>
    <col min="5" max="5" width="9.1640625" style="1" customWidth="1"/>
    <col min="6" max="6" width="8.1640625" style="1" customWidth="1"/>
    <col min="7" max="7" width="8.6640625" style="1" customWidth="1"/>
    <col min="8" max="8" width="8.33203125" style="1" customWidth="1"/>
    <col min="9" max="9" width="8.1640625" style="1" customWidth="1"/>
    <col min="10" max="10" width="8.5" style="1" customWidth="1"/>
    <col min="11" max="11" width="8" style="1" customWidth="1"/>
    <col min="12" max="13" width="7.5" style="1" customWidth="1"/>
    <col min="14" max="14" width="8.33203125" style="1" customWidth="1"/>
    <col min="15" max="15" width="9.1640625" style="1" customWidth="1"/>
    <col min="16" max="16" width="8.1640625" style="1" customWidth="1"/>
    <col min="17" max="17" width="8.5" style="1" customWidth="1"/>
    <col min="18" max="18" width="7.5" style="1" customWidth="1"/>
    <col min="19" max="19" width="7.6640625" style="1" customWidth="1"/>
    <col min="20" max="20" width="9.1640625" style="1" customWidth="1"/>
    <col min="21" max="21" width="9" style="1" customWidth="1"/>
    <col min="22" max="22" width="2.33203125" style="1" customWidth="1"/>
    <col min="23" max="23" width="10.33203125" style="1" customWidth="1"/>
    <col min="24" max="24" width="7" style="1" customWidth="1"/>
    <col min="25" max="25" width="13.1640625" style="1" customWidth="1"/>
    <col min="26" max="30" width="8.83203125" style="1"/>
    <col min="31" max="31" width="17.1640625" style="1" customWidth="1"/>
    <col min="32" max="32" width="16" style="1" customWidth="1"/>
    <col min="33" max="33" width="9.6640625" style="1" customWidth="1"/>
    <col min="34" max="256" width="8.83203125" style="1"/>
    <col min="257" max="257" width="2.5" style="1" customWidth="1"/>
    <col min="258" max="258" width="2.33203125" style="1" customWidth="1"/>
    <col min="259" max="259" width="17.6640625" style="1" customWidth="1"/>
    <col min="260" max="260" width="11.1640625" style="1" customWidth="1"/>
    <col min="261" max="261" width="9" style="1" customWidth="1"/>
    <col min="262" max="262" width="8.1640625" style="1" customWidth="1"/>
    <col min="263" max="263" width="8.33203125" style="1" customWidth="1"/>
    <col min="264" max="264" width="8" style="1" customWidth="1"/>
    <col min="265" max="265" width="8.5" style="1" customWidth="1"/>
    <col min="266" max="266" width="9" style="1" customWidth="1"/>
    <col min="267" max="267" width="8.33203125" style="1" customWidth="1"/>
    <col min="268" max="268" width="7.1640625" style="1" customWidth="1"/>
    <col min="269" max="269" width="7.83203125" style="1" customWidth="1"/>
    <col min="270" max="270" width="8.5" style="1" customWidth="1"/>
    <col min="271" max="271" width="9.1640625" style="1" customWidth="1"/>
    <col min="272" max="273" width="8.1640625" style="1" customWidth="1"/>
    <col min="274" max="275" width="8.5" style="1" customWidth="1"/>
    <col min="276" max="276" width="10.5" style="1" customWidth="1"/>
    <col min="277" max="277" width="8.83203125" style="1" customWidth="1"/>
    <col min="278" max="278" width="2.33203125" style="1" customWidth="1"/>
    <col min="279" max="279" width="15.5" style="1" customWidth="1"/>
    <col min="280" max="280" width="8.5" style="1" customWidth="1"/>
    <col min="281" max="281" width="15" style="1" customWidth="1"/>
    <col min="282" max="286" width="8.83203125" style="1"/>
    <col min="287" max="287" width="17.1640625" style="1" customWidth="1"/>
    <col min="288" max="288" width="16" style="1" customWidth="1"/>
    <col min="289" max="289" width="9.6640625" style="1" customWidth="1"/>
    <col min="290" max="512" width="8.83203125" style="1"/>
    <col min="513" max="513" width="2.5" style="1" customWidth="1"/>
    <col min="514" max="514" width="2.33203125" style="1" customWidth="1"/>
    <col min="515" max="515" width="17.6640625" style="1" customWidth="1"/>
    <col min="516" max="516" width="11.1640625" style="1" customWidth="1"/>
    <col min="517" max="517" width="9" style="1" customWidth="1"/>
    <col min="518" max="518" width="8.1640625" style="1" customWidth="1"/>
    <col min="519" max="519" width="8.33203125" style="1" customWidth="1"/>
    <col min="520" max="520" width="8" style="1" customWidth="1"/>
    <col min="521" max="521" width="8.5" style="1" customWidth="1"/>
    <col min="522" max="522" width="9" style="1" customWidth="1"/>
    <col min="523" max="523" width="8.33203125" style="1" customWidth="1"/>
    <col min="524" max="524" width="7.1640625" style="1" customWidth="1"/>
    <col min="525" max="525" width="7.83203125" style="1" customWidth="1"/>
    <col min="526" max="526" width="8.5" style="1" customWidth="1"/>
    <col min="527" max="527" width="9.1640625" style="1" customWidth="1"/>
    <col min="528" max="529" width="8.1640625" style="1" customWidth="1"/>
    <col min="530" max="531" width="8.5" style="1" customWidth="1"/>
    <col min="532" max="532" width="10.5" style="1" customWidth="1"/>
    <col min="533" max="533" width="8.83203125" style="1" customWidth="1"/>
    <col min="534" max="534" width="2.33203125" style="1" customWidth="1"/>
    <col min="535" max="535" width="15.5" style="1" customWidth="1"/>
    <col min="536" max="536" width="8.5" style="1" customWidth="1"/>
    <col min="537" max="537" width="15" style="1" customWidth="1"/>
    <col min="538" max="542" width="8.83203125" style="1"/>
    <col min="543" max="543" width="17.1640625" style="1" customWidth="1"/>
    <col min="544" max="544" width="16" style="1" customWidth="1"/>
    <col min="545" max="545" width="9.6640625" style="1" customWidth="1"/>
    <col min="546" max="768" width="8.83203125" style="1"/>
    <col min="769" max="769" width="2.5" style="1" customWidth="1"/>
    <col min="770" max="770" width="2.33203125" style="1" customWidth="1"/>
    <col min="771" max="771" width="17.6640625" style="1" customWidth="1"/>
    <col min="772" max="772" width="11.1640625" style="1" customWidth="1"/>
    <col min="773" max="773" width="9" style="1" customWidth="1"/>
    <col min="774" max="774" width="8.1640625" style="1" customWidth="1"/>
    <col min="775" max="775" width="8.33203125" style="1" customWidth="1"/>
    <col min="776" max="776" width="8" style="1" customWidth="1"/>
    <col min="777" max="777" width="8.5" style="1" customWidth="1"/>
    <col min="778" max="778" width="9" style="1" customWidth="1"/>
    <col min="779" max="779" width="8.33203125" style="1" customWidth="1"/>
    <col min="780" max="780" width="7.1640625" style="1" customWidth="1"/>
    <col min="781" max="781" width="7.83203125" style="1" customWidth="1"/>
    <col min="782" max="782" width="8.5" style="1" customWidth="1"/>
    <col min="783" max="783" width="9.1640625" style="1" customWidth="1"/>
    <col min="784" max="785" width="8.1640625" style="1" customWidth="1"/>
    <col min="786" max="787" width="8.5" style="1" customWidth="1"/>
    <col min="788" max="788" width="10.5" style="1" customWidth="1"/>
    <col min="789" max="789" width="8.83203125" style="1" customWidth="1"/>
    <col min="790" max="790" width="2.33203125" style="1" customWidth="1"/>
    <col min="791" max="791" width="15.5" style="1" customWidth="1"/>
    <col min="792" max="792" width="8.5" style="1" customWidth="1"/>
    <col min="793" max="793" width="15" style="1" customWidth="1"/>
    <col min="794" max="798" width="8.83203125" style="1"/>
    <col min="799" max="799" width="17.1640625" style="1" customWidth="1"/>
    <col min="800" max="800" width="16" style="1" customWidth="1"/>
    <col min="801" max="801" width="9.6640625" style="1" customWidth="1"/>
    <col min="802" max="1024" width="8.83203125" style="1"/>
    <col min="1025" max="1025" width="2.5" style="1" customWidth="1"/>
    <col min="1026" max="1026" width="2.33203125" style="1" customWidth="1"/>
    <col min="1027" max="1027" width="17.6640625" style="1" customWidth="1"/>
    <col min="1028" max="1028" width="11.1640625" style="1" customWidth="1"/>
    <col min="1029" max="1029" width="9" style="1" customWidth="1"/>
    <col min="1030" max="1030" width="8.1640625" style="1" customWidth="1"/>
    <col min="1031" max="1031" width="8.33203125" style="1" customWidth="1"/>
    <col min="1032" max="1032" width="8" style="1" customWidth="1"/>
    <col min="1033" max="1033" width="8.5" style="1" customWidth="1"/>
    <col min="1034" max="1034" width="9" style="1" customWidth="1"/>
    <col min="1035" max="1035" width="8.33203125" style="1" customWidth="1"/>
    <col min="1036" max="1036" width="7.1640625" style="1" customWidth="1"/>
    <col min="1037" max="1037" width="7.83203125" style="1" customWidth="1"/>
    <col min="1038" max="1038" width="8.5" style="1" customWidth="1"/>
    <col min="1039" max="1039" width="9.1640625" style="1" customWidth="1"/>
    <col min="1040" max="1041" width="8.1640625" style="1" customWidth="1"/>
    <col min="1042" max="1043" width="8.5" style="1" customWidth="1"/>
    <col min="1044" max="1044" width="10.5" style="1" customWidth="1"/>
    <col min="1045" max="1045" width="8.83203125" style="1" customWidth="1"/>
    <col min="1046" max="1046" width="2.33203125" style="1" customWidth="1"/>
    <col min="1047" max="1047" width="15.5" style="1" customWidth="1"/>
    <col min="1048" max="1048" width="8.5" style="1" customWidth="1"/>
    <col min="1049" max="1049" width="15" style="1" customWidth="1"/>
    <col min="1050" max="1054" width="8.83203125" style="1"/>
    <col min="1055" max="1055" width="17.1640625" style="1" customWidth="1"/>
    <col min="1056" max="1056" width="16" style="1" customWidth="1"/>
    <col min="1057" max="1057" width="9.6640625" style="1" customWidth="1"/>
    <col min="1058" max="1280" width="8.83203125" style="1"/>
    <col min="1281" max="1281" width="2.5" style="1" customWidth="1"/>
    <col min="1282" max="1282" width="2.33203125" style="1" customWidth="1"/>
    <col min="1283" max="1283" width="17.6640625" style="1" customWidth="1"/>
    <col min="1284" max="1284" width="11.1640625" style="1" customWidth="1"/>
    <col min="1285" max="1285" width="9" style="1" customWidth="1"/>
    <col min="1286" max="1286" width="8.1640625" style="1" customWidth="1"/>
    <col min="1287" max="1287" width="8.33203125" style="1" customWidth="1"/>
    <col min="1288" max="1288" width="8" style="1" customWidth="1"/>
    <col min="1289" max="1289" width="8.5" style="1" customWidth="1"/>
    <col min="1290" max="1290" width="9" style="1" customWidth="1"/>
    <col min="1291" max="1291" width="8.33203125" style="1" customWidth="1"/>
    <col min="1292" max="1292" width="7.1640625" style="1" customWidth="1"/>
    <col min="1293" max="1293" width="7.83203125" style="1" customWidth="1"/>
    <col min="1294" max="1294" width="8.5" style="1" customWidth="1"/>
    <col min="1295" max="1295" width="9.1640625" style="1" customWidth="1"/>
    <col min="1296" max="1297" width="8.1640625" style="1" customWidth="1"/>
    <col min="1298" max="1299" width="8.5" style="1" customWidth="1"/>
    <col min="1300" max="1300" width="10.5" style="1" customWidth="1"/>
    <col min="1301" max="1301" width="8.83203125" style="1" customWidth="1"/>
    <col min="1302" max="1302" width="2.33203125" style="1" customWidth="1"/>
    <col min="1303" max="1303" width="15.5" style="1" customWidth="1"/>
    <col min="1304" max="1304" width="8.5" style="1" customWidth="1"/>
    <col min="1305" max="1305" width="15" style="1" customWidth="1"/>
    <col min="1306" max="1310" width="8.83203125" style="1"/>
    <col min="1311" max="1311" width="17.1640625" style="1" customWidth="1"/>
    <col min="1312" max="1312" width="16" style="1" customWidth="1"/>
    <col min="1313" max="1313" width="9.6640625" style="1" customWidth="1"/>
    <col min="1314" max="1536" width="8.83203125" style="1"/>
    <col min="1537" max="1537" width="2.5" style="1" customWidth="1"/>
    <col min="1538" max="1538" width="2.33203125" style="1" customWidth="1"/>
    <col min="1539" max="1539" width="17.6640625" style="1" customWidth="1"/>
    <col min="1540" max="1540" width="11.1640625" style="1" customWidth="1"/>
    <col min="1541" max="1541" width="9" style="1" customWidth="1"/>
    <col min="1542" max="1542" width="8.1640625" style="1" customWidth="1"/>
    <col min="1543" max="1543" width="8.33203125" style="1" customWidth="1"/>
    <col min="1544" max="1544" width="8" style="1" customWidth="1"/>
    <col min="1545" max="1545" width="8.5" style="1" customWidth="1"/>
    <col min="1546" max="1546" width="9" style="1" customWidth="1"/>
    <col min="1547" max="1547" width="8.33203125" style="1" customWidth="1"/>
    <col min="1548" max="1548" width="7.1640625" style="1" customWidth="1"/>
    <col min="1549" max="1549" width="7.83203125" style="1" customWidth="1"/>
    <col min="1550" max="1550" width="8.5" style="1" customWidth="1"/>
    <col min="1551" max="1551" width="9.1640625" style="1" customWidth="1"/>
    <col min="1552" max="1553" width="8.1640625" style="1" customWidth="1"/>
    <col min="1554" max="1555" width="8.5" style="1" customWidth="1"/>
    <col min="1556" max="1556" width="10.5" style="1" customWidth="1"/>
    <col min="1557" max="1557" width="8.83203125" style="1" customWidth="1"/>
    <col min="1558" max="1558" width="2.33203125" style="1" customWidth="1"/>
    <col min="1559" max="1559" width="15.5" style="1" customWidth="1"/>
    <col min="1560" max="1560" width="8.5" style="1" customWidth="1"/>
    <col min="1561" max="1561" width="15" style="1" customWidth="1"/>
    <col min="1562" max="1566" width="8.83203125" style="1"/>
    <col min="1567" max="1567" width="17.1640625" style="1" customWidth="1"/>
    <col min="1568" max="1568" width="16" style="1" customWidth="1"/>
    <col min="1569" max="1569" width="9.6640625" style="1" customWidth="1"/>
    <col min="1570" max="1792" width="8.83203125" style="1"/>
    <col min="1793" max="1793" width="2.5" style="1" customWidth="1"/>
    <col min="1794" max="1794" width="2.33203125" style="1" customWidth="1"/>
    <col min="1795" max="1795" width="17.6640625" style="1" customWidth="1"/>
    <col min="1796" max="1796" width="11.1640625" style="1" customWidth="1"/>
    <col min="1797" max="1797" width="9" style="1" customWidth="1"/>
    <col min="1798" max="1798" width="8.1640625" style="1" customWidth="1"/>
    <col min="1799" max="1799" width="8.33203125" style="1" customWidth="1"/>
    <col min="1800" max="1800" width="8" style="1" customWidth="1"/>
    <col min="1801" max="1801" width="8.5" style="1" customWidth="1"/>
    <col min="1802" max="1802" width="9" style="1" customWidth="1"/>
    <col min="1803" max="1803" width="8.33203125" style="1" customWidth="1"/>
    <col min="1804" max="1804" width="7.1640625" style="1" customWidth="1"/>
    <col min="1805" max="1805" width="7.83203125" style="1" customWidth="1"/>
    <col min="1806" max="1806" width="8.5" style="1" customWidth="1"/>
    <col min="1807" max="1807" width="9.1640625" style="1" customWidth="1"/>
    <col min="1808" max="1809" width="8.1640625" style="1" customWidth="1"/>
    <col min="1810" max="1811" width="8.5" style="1" customWidth="1"/>
    <col min="1812" max="1812" width="10.5" style="1" customWidth="1"/>
    <col min="1813" max="1813" width="8.83203125" style="1" customWidth="1"/>
    <col min="1814" max="1814" width="2.33203125" style="1" customWidth="1"/>
    <col min="1815" max="1815" width="15.5" style="1" customWidth="1"/>
    <col min="1816" max="1816" width="8.5" style="1" customWidth="1"/>
    <col min="1817" max="1817" width="15" style="1" customWidth="1"/>
    <col min="1818" max="1822" width="8.83203125" style="1"/>
    <col min="1823" max="1823" width="17.1640625" style="1" customWidth="1"/>
    <col min="1824" max="1824" width="16" style="1" customWidth="1"/>
    <col min="1825" max="1825" width="9.6640625" style="1" customWidth="1"/>
    <col min="1826" max="2048" width="8.83203125" style="1"/>
    <col min="2049" max="2049" width="2.5" style="1" customWidth="1"/>
    <col min="2050" max="2050" width="2.33203125" style="1" customWidth="1"/>
    <col min="2051" max="2051" width="17.6640625" style="1" customWidth="1"/>
    <col min="2052" max="2052" width="11.1640625" style="1" customWidth="1"/>
    <col min="2053" max="2053" width="9" style="1" customWidth="1"/>
    <col min="2054" max="2054" width="8.1640625" style="1" customWidth="1"/>
    <col min="2055" max="2055" width="8.33203125" style="1" customWidth="1"/>
    <col min="2056" max="2056" width="8" style="1" customWidth="1"/>
    <col min="2057" max="2057" width="8.5" style="1" customWidth="1"/>
    <col min="2058" max="2058" width="9" style="1" customWidth="1"/>
    <col min="2059" max="2059" width="8.33203125" style="1" customWidth="1"/>
    <col min="2060" max="2060" width="7.1640625" style="1" customWidth="1"/>
    <col min="2061" max="2061" width="7.83203125" style="1" customWidth="1"/>
    <col min="2062" max="2062" width="8.5" style="1" customWidth="1"/>
    <col min="2063" max="2063" width="9.1640625" style="1" customWidth="1"/>
    <col min="2064" max="2065" width="8.1640625" style="1" customWidth="1"/>
    <col min="2066" max="2067" width="8.5" style="1" customWidth="1"/>
    <col min="2068" max="2068" width="10.5" style="1" customWidth="1"/>
    <col min="2069" max="2069" width="8.83203125" style="1" customWidth="1"/>
    <col min="2070" max="2070" width="2.33203125" style="1" customWidth="1"/>
    <col min="2071" max="2071" width="15.5" style="1" customWidth="1"/>
    <col min="2072" max="2072" width="8.5" style="1" customWidth="1"/>
    <col min="2073" max="2073" width="15" style="1" customWidth="1"/>
    <col min="2074" max="2078" width="8.83203125" style="1"/>
    <col min="2079" max="2079" width="17.1640625" style="1" customWidth="1"/>
    <col min="2080" max="2080" width="16" style="1" customWidth="1"/>
    <col min="2081" max="2081" width="9.6640625" style="1" customWidth="1"/>
    <col min="2082" max="2304" width="8.83203125" style="1"/>
    <col min="2305" max="2305" width="2.5" style="1" customWidth="1"/>
    <col min="2306" max="2306" width="2.33203125" style="1" customWidth="1"/>
    <col min="2307" max="2307" width="17.6640625" style="1" customWidth="1"/>
    <col min="2308" max="2308" width="11.1640625" style="1" customWidth="1"/>
    <col min="2309" max="2309" width="9" style="1" customWidth="1"/>
    <col min="2310" max="2310" width="8.1640625" style="1" customWidth="1"/>
    <col min="2311" max="2311" width="8.33203125" style="1" customWidth="1"/>
    <col min="2312" max="2312" width="8" style="1" customWidth="1"/>
    <col min="2313" max="2313" width="8.5" style="1" customWidth="1"/>
    <col min="2314" max="2314" width="9" style="1" customWidth="1"/>
    <col min="2315" max="2315" width="8.33203125" style="1" customWidth="1"/>
    <col min="2316" max="2316" width="7.1640625" style="1" customWidth="1"/>
    <col min="2317" max="2317" width="7.83203125" style="1" customWidth="1"/>
    <col min="2318" max="2318" width="8.5" style="1" customWidth="1"/>
    <col min="2319" max="2319" width="9.1640625" style="1" customWidth="1"/>
    <col min="2320" max="2321" width="8.1640625" style="1" customWidth="1"/>
    <col min="2322" max="2323" width="8.5" style="1" customWidth="1"/>
    <col min="2324" max="2324" width="10.5" style="1" customWidth="1"/>
    <col min="2325" max="2325" width="8.83203125" style="1" customWidth="1"/>
    <col min="2326" max="2326" width="2.33203125" style="1" customWidth="1"/>
    <col min="2327" max="2327" width="15.5" style="1" customWidth="1"/>
    <col min="2328" max="2328" width="8.5" style="1" customWidth="1"/>
    <col min="2329" max="2329" width="15" style="1" customWidth="1"/>
    <col min="2330" max="2334" width="8.83203125" style="1"/>
    <col min="2335" max="2335" width="17.1640625" style="1" customWidth="1"/>
    <col min="2336" max="2336" width="16" style="1" customWidth="1"/>
    <col min="2337" max="2337" width="9.6640625" style="1" customWidth="1"/>
    <col min="2338" max="2560" width="8.83203125" style="1"/>
    <col min="2561" max="2561" width="2.5" style="1" customWidth="1"/>
    <col min="2562" max="2562" width="2.33203125" style="1" customWidth="1"/>
    <col min="2563" max="2563" width="17.6640625" style="1" customWidth="1"/>
    <col min="2564" max="2564" width="11.1640625" style="1" customWidth="1"/>
    <col min="2565" max="2565" width="9" style="1" customWidth="1"/>
    <col min="2566" max="2566" width="8.1640625" style="1" customWidth="1"/>
    <col min="2567" max="2567" width="8.33203125" style="1" customWidth="1"/>
    <col min="2568" max="2568" width="8" style="1" customWidth="1"/>
    <col min="2569" max="2569" width="8.5" style="1" customWidth="1"/>
    <col min="2570" max="2570" width="9" style="1" customWidth="1"/>
    <col min="2571" max="2571" width="8.33203125" style="1" customWidth="1"/>
    <col min="2572" max="2572" width="7.1640625" style="1" customWidth="1"/>
    <col min="2573" max="2573" width="7.83203125" style="1" customWidth="1"/>
    <col min="2574" max="2574" width="8.5" style="1" customWidth="1"/>
    <col min="2575" max="2575" width="9.1640625" style="1" customWidth="1"/>
    <col min="2576" max="2577" width="8.1640625" style="1" customWidth="1"/>
    <col min="2578" max="2579" width="8.5" style="1" customWidth="1"/>
    <col min="2580" max="2580" width="10.5" style="1" customWidth="1"/>
    <col min="2581" max="2581" width="8.83203125" style="1" customWidth="1"/>
    <col min="2582" max="2582" width="2.33203125" style="1" customWidth="1"/>
    <col min="2583" max="2583" width="15.5" style="1" customWidth="1"/>
    <col min="2584" max="2584" width="8.5" style="1" customWidth="1"/>
    <col min="2585" max="2585" width="15" style="1" customWidth="1"/>
    <col min="2586" max="2590" width="8.83203125" style="1"/>
    <col min="2591" max="2591" width="17.1640625" style="1" customWidth="1"/>
    <col min="2592" max="2592" width="16" style="1" customWidth="1"/>
    <col min="2593" max="2593" width="9.6640625" style="1" customWidth="1"/>
    <col min="2594" max="2816" width="8.83203125" style="1"/>
    <col min="2817" max="2817" width="2.5" style="1" customWidth="1"/>
    <col min="2818" max="2818" width="2.33203125" style="1" customWidth="1"/>
    <col min="2819" max="2819" width="17.6640625" style="1" customWidth="1"/>
    <col min="2820" max="2820" width="11.1640625" style="1" customWidth="1"/>
    <col min="2821" max="2821" width="9" style="1" customWidth="1"/>
    <col min="2822" max="2822" width="8.1640625" style="1" customWidth="1"/>
    <col min="2823" max="2823" width="8.33203125" style="1" customWidth="1"/>
    <col min="2824" max="2824" width="8" style="1" customWidth="1"/>
    <col min="2825" max="2825" width="8.5" style="1" customWidth="1"/>
    <col min="2826" max="2826" width="9" style="1" customWidth="1"/>
    <col min="2827" max="2827" width="8.33203125" style="1" customWidth="1"/>
    <col min="2828" max="2828" width="7.1640625" style="1" customWidth="1"/>
    <col min="2829" max="2829" width="7.83203125" style="1" customWidth="1"/>
    <col min="2830" max="2830" width="8.5" style="1" customWidth="1"/>
    <col min="2831" max="2831" width="9.1640625" style="1" customWidth="1"/>
    <col min="2832" max="2833" width="8.1640625" style="1" customWidth="1"/>
    <col min="2834" max="2835" width="8.5" style="1" customWidth="1"/>
    <col min="2836" max="2836" width="10.5" style="1" customWidth="1"/>
    <col min="2837" max="2837" width="8.83203125" style="1" customWidth="1"/>
    <col min="2838" max="2838" width="2.33203125" style="1" customWidth="1"/>
    <col min="2839" max="2839" width="15.5" style="1" customWidth="1"/>
    <col min="2840" max="2840" width="8.5" style="1" customWidth="1"/>
    <col min="2841" max="2841" width="15" style="1" customWidth="1"/>
    <col min="2842" max="2846" width="8.83203125" style="1"/>
    <col min="2847" max="2847" width="17.1640625" style="1" customWidth="1"/>
    <col min="2848" max="2848" width="16" style="1" customWidth="1"/>
    <col min="2849" max="2849" width="9.6640625" style="1" customWidth="1"/>
    <col min="2850" max="3072" width="8.83203125" style="1"/>
    <col min="3073" max="3073" width="2.5" style="1" customWidth="1"/>
    <col min="3074" max="3074" width="2.33203125" style="1" customWidth="1"/>
    <col min="3075" max="3075" width="17.6640625" style="1" customWidth="1"/>
    <col min="3076" max="3076" width="11.1640625" style="1" customWidth="1"/>
    <col min="3077" max="3077" width="9" style="1" customWidth="1"/>
    <col min="3078" max="3078" width="8.1640625" style="1" customWidth="1"/>
    <col min="3079" max="3079" width="8.33203125" style="1" customWidth="1"/>
    <col min="3080" max="3080" width="8" style="1" customWidth="1"/>
    <col min="3081" max="3081" width="8.5" style="1" customWidth="1"/>
    <col min="3082" max="3082" width="9" style="1" customWidth="1"/>
    <col min="3083" max="3083" width="8.33203125" style="1" customWidth="1"/>
    <col min="3084" max="3084" width="7.1640625" style="1" customWidth="1"/>
    <col min="3085" max="3085" width="7.83203125" style="1" customWidth="1"/>
    <col min="3086" max="3086" width="8.5" style="1" customWidth="1"/>
    <col min="3087" max="3087" width="9.1640625" style="1" customWidth="1"/>
    <col min="3088" max="3089" width="8.1640625" style="1" customWidth="1"/>
    <col min="3090" max="3091" width="8.5" style="1" customWidth="1"/>
    <col min="3092" max="3092" width="10.5" style="1" customWidth="1"/>
    <col min="3093" max="3093" width="8.83203125" style="1" customWidth="1"/>
    <col min="3094" max="3094" width="2.33203125" style="1" customWidth="1"/>
    <col min="3095" max="3095" width="15.5" style="1" customWidth="1"/>
    <col min="3096" max="3096" width="8.5" style="1" customWidth="1"/>
    <col min="3097" max="3097" width="15" style="1" customWidth="1"/>
    <col min="3098" max="3102" width="8.83203125" style="1"/>
    <col min="3103" max="3103" width="17.1640625" style="1" customWidth="1"/>
    <col min="3104" max="3104" width="16" style="1" customWidth="1"/>
    <col min="3105" max="3105" width="9.6640625" style="1" customWidth="1"/>
    <col min="3106" max="3328" width="8.83203125" style="1"/>
    <col min="3329" max="3329" width="2.5" style="1" customWidth="1"/>
    <col min="3330" max="3330" width="2.33203125" style="1" customWidth="1"/>
    <col min="3331" max="3331" width="17.6640625" style="1" customWidth="1"/>
    <col min="3332" max="3332" width="11.1640625" style="1" customWidth="1"/>
    <col min="3333" max="3333" width="9" style="1" customWidth="1"/>
    <col min="3334" max="3334" width="8.1640625" style="1" customWidth="1"/>
    <col min="3335" max="3335" width="8.33203125" style="1" customWidth="1"/>
    <col min="3336" max="3336" width="8" style="1" customWidth="1"/>
    <col min="3337" max="3337" width="8.5" style="1" customWidth="1"/>
    <col min="3338" max="3338" width="9" style="1" customWidth="1"/>
    <col min="3339" max="3339" width="8.33203125" style="1" customWidth="1"/>
    <col min="3340" max="3340" width="7.1640625" style="1" customWidth="1"/>
    <col min="3341" max="3341" width="7.83203125" style="1" customWidth="1"/>
    <col min="3342" max="3342" width="8.5" style="1" customWidth="1"/>
    <col min="3343" max="3343" width="9.1640625" style="1" customWidth="1"/>
    <col min="3344" max="3345" width="8.1640625" style="1" customWidth="1"/>
    <col min="3346" max="3347" width="8.5" style="1" customWidth="1"/>
    <col min="3348" max="3348" width="10.5" style="1" customWidth="1"/>
    <col min="3349" max="3349" width="8.83203125" style="1" customWidth="1"/>
    <col min="3350" max="3350" width="2.33203125" style="1" customWidth="1"/>
    <col min="3351" max="3351" width="15.5" style="1" customWidth="1"/>
    <col min="3352" max="3352" width="8.5" style="1" customWidth="1"/>
    <col min="3353" max="3353" width="15" style="1" customWidth="1"/>
    <col min="3354" max="3358" width="8.83203125" style="1"/>
    <col min="3359" max="3359" width="17.1640625" style="1" customWidth="1"/>
    <col min="3360" max="3360" width="16" style="1" customWidth="1"/>
    <col min="3361" max="3361" width="9.6640625" style="1" customWidth="1"/>
    <col min="3362" max="3584" width="8.83203125" style="1"/>
    <col min="3585" max="3585" width="2.5" style="1" customWidth="1"/>
    <col min="3586" max="3586" width="2.33203125" style="1" customWidth="1"/>
    <col min="3587" max="3587" width="17.6640625" style="1" customWidth="1"/>
    <col min="3588" max="3588" width="11.1640625" style="1" customWidth="1"/>
    <col min="3589" max="3589" width="9" style="1" customWidth="1"/>
    <col min="3590" max="3590" width="8.1640625" style="1" customWidth="1"/>
    <col min="3591" max="3591" width="8.33203125" style="1" customWidth="1"/>
    <col min="3592" max="3592" width="8" style="1" customWidth="1"/>
    <col min="3593" max="3593" width="8.5" style="1" customWidth="1"/>
    <col min="3594" max="3594" width="9" style="1" customWidth="1"/>
    <col min="3595" max="3595" width="8.33203125" style="1" customWidth="1"/>
    <col min="3596" max="3596" width="7.1640625" style="1" customWidth="1"/>
    <col min="3597" max="3597" width="7.83203125" style="1" customWidth="1"/>
    <col min="3598" max="3598" width="8.5" style="1" customWidth="1"/>
    <col min="3599" max="3599" width="9.1640625" style="1" customWidth="1"/>
    <col min="3600" max="3601" width="8.1640625" style="1" customWidth="1"/>
    <col min="3602" max="3603" width="8.5" style="1" customWidth="1"/>
    <col min="3604" max="3604" width="10.5" style="1" customWidth="1"/>
    <col min="3605" max="3605" width="8.83203125" style="1" customWidth="1"/>
    <col min="3606" max="3606" width="2.33203125" style="1" customWidth="1"/>
    <col min="3607" max="3607" width="15.5" style="1" customWidth="1"/>
    <col min="3608" max="3608" width="8.5" style="1" customWidth="1"/>
    <col min="3609" max="3609" width="15" style="1" customWidth="1"/>
    <col min="3610" max="3614" width="8.83203125" style="1"/>
    <col min="3615" max="3615" width="17.1640625" style="1" customWidth="1"/>
    <col min="3616" max="3616" width="16" style="1" customWidth="1"/>
    <col min="3617" max="3617" width="9.6640625" style="1" customWidth="1"/>
    <col min="3618" max="3840" width="8.83203125" style="1"/>
    <col min="3841" max="3841" width="2.5" style="1" customWidth="1"/>
    <col min="3842" max="3842" width="2.33203125" style="1" customWidth="1"/>
    <col min="3843" max="3843" width="17.6640625" style="1" customWidth="1"/>
    <col min="3844" max="3844" width="11.1640625" style="1" customWidth="1"/>
    <col min="3845" max="3845" width="9" style="1" customWidth="1"/>
    <col min="3846" max="3846" width="8.1640625" style="1" customWidth="1"/>
    <col min="3847" max="3847" width="8.33203125" style="1" customWidth="1"/>
    <col min="3848" max="3848" width="8" style="1" customWidth="1"/>
    <col min="3849" max="3849" width="8.5" style="1" customWidth="1"/>
    <col min="3850" max="3850" width="9" style="1" customWidth="1"/>
    <col min="3851" max="3851" width="8.33203125" style="1" customWidth="1"/>
    <col min="3852" max="3852" width="7.1640625" style="1" customWidth="1"/>
    <col min="3853" max="3853" width="7.83203125" style="1" customWidth="1"/>
    <col min="3854" max="3854" width="8.5" style="1" customWidth="1"/>
    <col min="3855" max="3855" width="9.1640625" style="1" customWidth="1"/>
    <col min="3856" max="3857" width="8.1640625" style="1" customWidth="1"/>
    <col min="3858" max="3859" width="8.5" style="1" customWidth="1"/>
    <col min="3860" max="3860" width="10.5" style="1" customWidth="1"/>
    <col min="3861" max="3861" width="8.83203125" style="1" customWidth="1"/>
    <col min="3862" max="3862" width="2.33203125" style="1" customWidth="1"/>
    <col min="3863" max="3863" width="15.5" style="1" customWidth="1"/>
    <col min="3864" max="3864" width="8.5" style="1" customWidth="1"/>
    <col min="3865" max="3865" width="15" style="1" customWidth="1"/>
    <col min="3866" max="3870" width="8.83203125" style="1"/>
    <col min="3871" max="3871" width="17.1640625" style="1" customWidth="1"/>
    <col min="3872" max="3872" width="16" style="1" customWidth="1"/>
    <col min="3873" max="3873" width="9.6640625" style="1" customWidth="1"/>
    <col min="3874" max="4096" width="8.83203125" style="1"/>
    <col min="4097" max="4097" width="2.5" style="1" customWidth="1"/>
    <col min="4098" max="4098" width="2.33203125" style="1" customWidth="1"/>
    <col min="4099" max="4099" width="17.6640625" style="1" customWidth="1"/>
    <col min="4100" max="4100" width="11.1640625" style="1" customWidth="1"/>
    <col min="4101" max="4101" width="9" style="1" customWidth="1"/>
    <col min="4102" max="4102" width="8.1640625" style="1" customWidth="1"/>
    <col min="4103" max="4103" width="8.33203125" style="1" customWidth="1"/>
    <col min="4104" max="4104" width="8" style="1" customWidth="1"/>
    <col min="4105" max="4105" width="8.5" style="1" customWidth="1"/>
    <col min="4106" max="4106" width="9" style="1" customWidth="1"/>
    <col min="4107" max="4107" width="8.33203125" style="1" customWidth="1"/>
    <col min="4108" max="4108" width="7.1640625" style="1" customWidth="1"/>
    <col min="4109" max="4109" width="7.83203125" style="1" customWidth="1"/>
    <col min="4110" max="4110" width="8.5" style="1" customWidth="1"/>
    <col min="4111" max="4111" width="9.1640625" style="1" customWidth="1"/>
    <col min="4112" max="4113" width="8.1640625" style="1" customWidth="1"/>
    <col min="4114" max="4115" width="8.5" style="1" customWidth="1"/>
    <col min="4116" max="4116" width="10.5" style="1" customWidth="1"/>
    <col min="4117" max="4117" width="8.83203125" style="1" customWidth="1"/>
    <col min="4118" max="4118" width="2.33203125" style="1" customWidth="1"/>
    <col min="4119" max="4119" width="15.5" style="1" customWidth="1"/>
    <col min="4120" max="4120" width="8.5" style="1" customWidth="1"/>
    <col min="4121" max="4121" width="15" style="1" customWidth="1"/>
    <col min="4122" max="4126" width="8.83203125" style="1"/>
    <col min="4127" max="4127" width="17.1640625" style="1" customWidth="1"/>
    <col min="4128" max="4128" width="16" style="1" customWidth="1"/>
    <col min="4129" max="4129" width="9.6640625" style="1" customWidth="1"/>
    <col min="4130" max="4352" width="8.83203125" style="1"/>
    <col min="4353" max="4353" width="2.5" style="1" customWidth="1"/>
    <col min="4354" max="4354" width="2.33203125" style="1" customWidth="1"/>
    <col min="4355" max="4355" width="17.6640625" style="1" customWidth="1"/>
    <col min="4356" max="4356" width="11.1640625" style="1" customWidth="1"/>
    <col min="4357" max="4357" width="9" style="1" customWidth="1"/>
    <col min="4358" max="4358" width="8.1640625" style="1" customWidth="1"/>
    <col min="4359" max="4359" width="8.33203125" style="1" customWidth="1"/>
    <col min="4360" max="4360" width="8" style="1" customWidth="1"/>
    <col min="4361" max="4361" width="8.5" style="1" customWidth="1"/>
    <col min="4362" max="4362" width="9" style="1" customWidth="1"/>
    <col min="4363" max="4363" width="8.33203125" style="1" customWidth="1"/>
    <col min="4364" max="4364" width="7.1640625" style="1" customWidth="1"/>
    <col min="4365" max="4365" width="7.83203125" style="1" customWidth="1"/>
    <col min="4366" max="4366" width="8.5" style="1" customWidth="1"/>
    <col min="4367" max="4367" width="9.1640625" style="1" customWidth="1"/>
    <col min="4368" max="4369" width="8.1640625" style="1" customWidth="1"/>
    <col min="4370" max="4371" width="8.5" style="1" customWidth="1"/>
    <col min="4372" max="4372" width="10.5" style="1" customWidth="1"/>
    <col min="4373" max="4373" width="8.83203125" style="1" customWidth="1"/>
    <col min="4374" max="4374" width="2.33203125" style="1" customWidth="1"/>
    <col min="4375" max="4375" width="15.5" style="1" customWidth="1"/>
    <col min="4376" max="4376" width="8.5" style="1" customWidth="1"/>
    <col min="4377" max="4377" width="15" style="1" customWidth="1"/>
    <col min="4378" max="4382" width="8.83203125" style="1"/>
    <col min="4383" max="4383" width="17.1640625" style="1" customWidth="1"/>
    <col min="4384" max="4384" width="16" style="1" customWidth="1"/>
    <col min="4385" max="4385" width="9.6640625" style="1" customWidth="1"/>
    <col min="4386" max="4608" width="8.83203125" style="1"/>
    <col min="4609" max="4609" width="2.5" style="1" customWidth="1"/>
    <col min="4610" max="4610" width="2.33203125" style="1" customWidth="1"/>
    <col min="4611" max="4611" width="17.6640625" style="1" customWidth="1"/>
    <col min="4612" max="4612" width="11.1640625" style="1" customWidth="1"/>
    <col min="4613" max="4613" width="9" style="1" customWidth="1"/>
    <col min="4614" max="4614" width="8.1640625" style="1" customWidth="1"/>
    <col min="4615" max="4615" width="8.33203125" style="1" customWidth="1"/>
    <col min="4616" max="4616" width="8" style="1" customWidth="1"/>
    <col min="4617" max="4617" width="8.5" style="1" customWidth="1"/>
    <col min="4618" max="4618" width="9" style="1" customWidth="1"/>
    <col min="4619" max="4619" width="8.33203125" style="1" customWidth="1"/>
    <col min="4620" max="4620" width="7.1640625" style="1" customWidth="1"/>
    <col min="4621" max="4621" width="7.83203125" style="1" customWidth="1"/>
    <col min="4622" max="4622" width="8.5" style="1" customWidth="1"/>
    <col min="4623" max="4623" width="9.1640625" style="1" customWidth="1"/>
    <col min="4624" max="4625" width="8.1640625" style="1" customWidth="1"/>
    <col min="4626" max="4627" width="8.5" style="1" customWidth="1"/>
    <col min="4628" max="4628" width="10.5" style="1" customWidth="1"/>
    <col min="4629" max="4629" width="8.83203125" style="1" customWidth="1"/>
    <col min="4630" max="4630" width="2.33203125" style="1" customWidth="1"/>
    <col min="4631" max="4631" width="15.5" style="1" customWidth="1"/>
    <col min="4632" max="4632" width="8.5" style="1" customWidth="1"/>
    <col min="4633" max="4633" width="15" style="1" customWidth="1"/>
    <col min="4634" max="4638" width="8.83203125" style="1"/>
    <col min="4639" max="4639" width="17.1640625" style="1" customWidth="1"/>
    <col min="4640" max="4640" width="16" style="1" customWidth="1"/>
    <col min="4641" max="4641" width="9.6640625" style="1" customWidth="1"/>
    <col min="4642" max="4864" width="8.83203125" style="1"/>
    <col min="4865" max="4865" width="2.5" style="1" customWidth="1"/>
    <col min="4866" max="4866" width="2.33203125" style="1" customWidth="1"/>
    <col min="4867" max="4867" width="17.6640625" style="1" customWidth="1"/>
    <col min="4868" max="4868" width="11.1640625" style="1" customWidth="1"/>
    <col min="4869" max="4869" width="9" style="1" customWidth="1"/>
    <col min="4870" max="4870" width="8.1640625" style="1" customWidth="1"/>
    <col min="4871" max="4871" width="8.33203125" style="1" customWidth="1"/>
    <col min="4872" max="4872" width="8" style="1" customWidth="1"/>
    <col min="4873" max="4873" width="8.5" style="1" customWidth="1"/>
    <col min="4874" max="4874" width="9" style="1" customWidth="1"/>
    <col min="4875" max="4875" width="8.33203125" style="1" customWidth="1"/>
    <col min="4876" max="4876" width="7.1640625" style="1" customWidth="1"/>
    <col min="4877" max="4877" width="7.83203125" style="1" customWidth="1"/>
    <col min="4878" max="4878" width="8.5" style="1" customWidth="1"/>
    <col min="4879" max="4879" width="9.1640625" style="1" customWidth="1"/>
    <col min="4880" max="4881" width="8.1640625" style="1" customWidth="1"/>
    <col min="4882" max="4883" width="8.5" style="1" customWidth="1"/>
    <col min="4884" max="4884" width="10.5" style="1" customWidth="1"/>
    <col min="4885" max="4885" width="8.83203125" style="1" customWidth="1"/>
    <col min="4886" max="4886" width="2.33203125" style="1" customWidth="1"/>
    <col min="4887" max="4887" width="15.5" style="1" customWidth="1"/>
    <col min="4888" max="4888" width="8.5" style="1" customWidth="1"/>
    <col min="4889" max="4889" width="15" style="1" customWidth="1"/>
    <col min="4890" max="4894" width="8.83203125" style="1"/>
    <col min="4895" max="4895" width="17.1640625" style="1" customWidth="1"/>
    <col min="4896" max="4896" width="16" style="1" customWidth="1"/>
    <col min="4897" max="4897" width="9.6640625" style="1" customWidth="1"/>
    <col min="4898" max="5120" width="8.83203125" style="1"/>
    <col min="5121" max="5121" width="2.5" style="1" customWidth="1"/>
    <col min="5122" max="5122" width="2.33203125" style="1" customWidth="1"/>
    <col min="5123" max="5123" width="17.6640625" style="1" customWidth="1"/>
    <col min="5124" max="5124" width="11.1640625" style="1" customWidth="1"/>
    <col min="5125" max="5125" width="9" style="1" customWidth="1"/>
    <col min="5126" max="5126" width="8.1640625" style="1" customWidth="1"/>
    <col min="5127" max="5127" width="8.33203125" style="1" customWidth="1"/>
    <col min="5128" max="5128" width="8" style="1" customWidth="1"/>
    <col min="5129" max="5129" width="8.5" style="1" customWidth="1"/>
    <col min="5130" max="5130" width="9" style="1" customWidth="1"/>
    <col min="5131" max="5131" width="8.33203125" style="1" customWidth="1"/>
    <col min="5132" max="5132" width="7.1640625" style="1" customWidth="1"/>
    <col min="5133" max="5133" width="7.83203125" style="1" customWidth="1"/>
    <col min="5134" max="5134" width="8.5" style="1" customWidth="1"/>
    <col min="5135" max="5135" width="9.1640625" style="1" customWidth="1"/>
    <col min="5136" max="5137" width="8.1640625" style="1" customWidth="1"/>
    <col min="5138" max="5139" width="8.5" style="1" customWidth="1"/>
    <col min="5140" max="5140" width="10.5" style="1" customWidth="1"/>
    <col min="5141" max="5141" width="8.83203125" style="1" customWidth="1"/>
    <col min="5142" max="5142" width="2.33203125" style="1" customWidth="1"/>
    <col min="5143" max="5143" width="15.5" style="1" customWidth="1"/>
    <col min="5144" max="5144" width="8.5" style="1" customWidth="1"/>
    <col min="5145" max="5145" width="15" style="1" customWidth="1"/>
    <col min="5146" max="5150" width="8.83203125" style="1"/>
    <col min="5151" max="5151" width="17.1640625" style="1" customWidth="1"/>
    <col min="5152" max="5152" width="16" style="1" customWidth="1"/>
    <col min="5153" max="5153" width="9.6640625" style="1" customWidth="1"/>
    <col min="5154" max="5376" width="8.83203125" style="1"/>
    <col min="5377" max="5377" width="2.5" style="1" customWidth="1"/>
    <col min="5378" max="5378" width="2.33203125" style="1" customWidth="1"/>
    <col min="5379" max="5379" width="17.6640625" style="1" customWidth="1"/>
    <col min="5380" max="5380" width="11.1640625" style="1" customWidth="1"/>
    <col min="5381" max="5381" width="9" style="1" customWidth="1"/>
    <col min="5382" max="5382" width="8.1640625" style="1" customWidth="1"/>
    <col min="5383" max="5383" width="8.33203125" style="1" customWidth="1"/>
    <col min="5384" max="5384" width="8" style="1" customWidth="1"/>
    <col min="5385" max="5385" width="8.5" style="1" customWidth="1"/>
    <col min="5386" max="5386" width="9" style="1" customWidth="1"/>
    <col min="5387" max="5387" width="8.33203125" style="1" customWidth="1"/>
    <col min="5388" max="5388" width="7.1640625" style="1" customWidth="1"/>
    <col min="5389" max="5389" width="7.83203125" style="1" customWidth="1"/>
    <col min="5390" max="5390" width="8.5" style="1" customWidth="1"/>
    <col min="5391" max="5391" width="9.1640625" style="1" customWidth="1"/>
    <col min="5392" max="5393" width="8.1640625" style="1" customWidth="1"/>
    <col min="5394" max="5395" width="8.5" style="1" customWidth="1"/>
    <col min="5396" max="5396" width="10.5" style="1" customWidth="1"/>
    <col min="5397" max="5397" width="8.83203125" style="1" customWidth="1"/>
    <col min="5398" max="5398" width="2.33203125" style="1" customWidth="1"/>
    <col min="5399" max="5399" width="15.5" style="1" customWidth="1"/>
    <col min="5400" max="5400" width="8.5" style="1" customWidth="1"/>
    <col min="5401" max="5401" width="15" style="1" customWidth="1"/>
    <col min="5402" max="5406" width="8.83203125" style="1"/>
    <col min="5407" max="5407" width="17.1640625" style="1" customWidth="1"/>
    <col min="5408" max="5408" width="16" style="1" customWidth="1"/>
    <col min="5409" max="5409" width="9.6640625" style="1" customWidth="1"/>
    <col min="5410" max="5632" width="8.83203125" style="1"/>
    <col min="5633" max="5633" width="2.5" style="1" customWidth="1"/>
    <col min="5634" max="5634" width="2.33203125" style="1" customWidth="1"/>
    <col min="5635" max="5635" width="17.6640625" style="1" customWidth="1"/>
    <col min="5636" max="5636" width="11.1640625" style="1" customWidth="1"/>
    <col min="5637" max="5637" width="9" style="1" customWidth="1"/>
    <col min="5638" max="5638" width="8.1640625" style="1" customWidth="1"/>
    <col min="5639" max="5639" width="8.33203125" style="1" customWidth="1"/>
    <col min="5640" max="5640" width="8" style="1" customWidth="1"/>
    <col min="5641" max="5641" width="8.5" style="1" customWidth="1"/>
    <col min="5642" max="5642" width="9" style="1" customWidth="1"/>
    <col min="5643" max="5643" width="8.33203125" style="1" customWidth="1"/>
    <col min="5644" max="5644" width="7.1640625" style="1" customWidth="1"/>
    <col min="5645" max="5645" width="7.83203125" style="1" customWidth="1"/>
    <col min="5646" max="5646" width="8.5" style="1" customWidth="1"/>
    <col min="5647" max="5647" width="9.1640625" style="1" customWidth="1"/>
    <col min="5648" max="5649" width="8.1640625" style="1" customWidth="1"/>
    <col min="5650" max="5651" width="8.5" style="1" customWidth="1"/>
    <col min="5652" max="5652" width="10.5" style="1" customWidth="1"/>
    <col min="5653" max="5653" width="8.83203125" style="1" customWidth="1"/>
    <col min="5654" max="5654" width="2.33203125" style="1" customWidth="1"/>
    <col min="5655" max="5655" width="15.5" style="1" customWidth="1"/>
    <col min="5656" max="5656" width="8.5" style="1" customWidth="1"/>
    <col min="5657" max="5657" width="15" style="1" customWidth="1"/>
    <col min="5658" max="5662" width="8.83203125" style="1"/>
    <col min="5663" max="5663" width="17.1640625" style="1" customWidth="1"/>
    <col min="5664" max="5664" width="16" style="1" customWidth="1"/>
    <col min="5665" max="5665" width="9.6640625" style="1" customWidth="1"/>
    <col min="5666" max="5888" width="8.83203125" style="1"/>
    <col min="5889" max="5889" width="2.5" style="1" customWidth="1"/>
    <col min="5890" max="5890" width="2.33203125" style="1" customWidth="1"/>
    <col min="5891" max="5891" width="17.6640625" style="1" customWidth="1"/>
    <col min="5892" max="5892" width="11.1640625" style="1" customWidth="1"/>
    <col min="5893" max="5893" width="9" style="1" customWidth="1"/>
    <col min="5894" max="5894" width="8.1640625" style="1" customWidth="1"/>
    <col min="5895" max="5895" width="8.33203125" style="1" customWidth="1"/>
    <col min="5896" max="5896" width="8" style="1" customWidth="1"/>
    <col min="5897" max="5897" width="8.5" style="1" customWidth="1"/>
    <col min="5898" max="5898" width="9" style="1" customWidth="1"/>
    <col min="5899" max="5899" width="8.33203125" style="1" customWidth="1"/>
    <col min="5900" max="5900" width="7.1640625" style="1" customWidth="1"/>
    <col min="5901" max="5901" width="7.83203125" style="1" customWidth="1"/>
    <col min="5902" max="5902" width="8.5" style="1" customWidth="1"/>
    <col min="5903" max="5903" width="9.1640625" style="1" customWidth="1"/>
    <col min="5904" max="5905" width="8.1640625" style="1" customWidth="1"/>
    <col min="5906" max="5907" width="8.5" style="1" customWidth="1"/>
    <col min="5908" max="5908" width="10.5" style="1" customWidth="1"/>
    <col min="5909" max="5909" width="8.83203125" style="1" customWidth="1"/>
    <col min="5910" max="5910" width="2.33203125" style="1" customWidth="1"/>
    <col min="5911" max="5911" width="15.5" style="1" customWidth="1"/>
    <col min="5912" max="5912" width="8.5" style="1" customWidth="1"/>
    <col min="5913" max="5913" width="15" style="1" customWidth="1"/>
    <col min="5914" max="5918" width="8.83203125" style="1"/>
    <col min="5919" max="5919" width="17.1640625" style="1" customWidth="1"/>
    <col min="5920" max="5920" width="16" style="1" customWidth="1"/>
    <col min="5921" max="5921" width="9.6640625" style="1" customWidth="1"/>
    <col min="5922" max="6144" width="8.83203125" style="1"/>
    <col min="6145" max="6145" width="2.5" style="1" customWidth="1"/>
    <col min="6146" max="6146" width="2.33203125" style="1" customWidth="1"/>
    <col min="6147" max="6147" width="17.6640625" style="1" customWidth="1"/>
    <col min="6148" max="6148" width="11.1640625" style="1" customWidth="1"/>
    <col min="6149" max="6149" width="9" style="1" customWidth="1"/>
    <col min="6150" max="6150" width="8.1640625" style="1" customWidth="1"/>
    <col min="6151" max="6151" width="8.33203125" style="1" customWidth="1"/>
    <col min="6152" max="6152" width="8" style="1" customWidth="1"/>
    <col min="6153" max="6153" width="8.5" style="1" customWidth="1"/>
    <col min="6154" max="6154" width="9" style="1" customWidth="1"/>
    <col min="6155" max="6155" width="8.33203125" style="1" customWidth="1"/>
    <col min="6156" max="6156" width="7.1640625" style="1" customWidth="1"/>
    <col min="6157" max="6157" width="7.83203125" style="1" customWidth="1"/>
    <col min="6158" max="6158" width="8.5" style="1" customWidth="1"/>
    <col min="6159" max="6159" width="9.1640625" style="1" customWidth="1"/>
    <col min="6160" max="6161" width="8.1640625" style="1" customWidth="1"/>
    <col min="6162" max="6163" width="8.5" style="1" customWidth="1"/>
    <col min="6164" max="6164" width="10.5" style="1" customWidth="1"/>
    <col min="6165" max="6165" width="8.83203125" style="1" customWidth="1"/>
    <col min="6166" max="6166" width="2.33203125" style="1" customWidth="1"/>
    <col min="6167" max="6167" width="15.5" style="1" customWidth="1"/>
    <col min="6168" max="6168" width="8.5" style="1" customWidth="1"/>
    <col min="6169" max="6169" width="15" style="1" customWidth="1"/>
    <col min="6170" max="6174" width="8.83203125" style="1"/>
    <col min="6175" max="6175" width="17.1640625" style="1" customWidth="1"/>
    <col min="6176" max="6176" width="16" style="1" customWidth="1"/>
    <col min="6177" max="6177" width="9.6640625" style="1" customWidth="1"/>
    <col min="6178" max="6400" width="8.83203125" style="1"/>
    <col min="6401" max="6401" width="2.5" style="1" customWidth="1"/>
    <col min="6402" max="6402" width="2.33203125" style="1" customWidth="1"/>
    <col min="6403" max="6403" width="17.6640625" style="1" customWidth="1"/>
    <col min="6404" max="6404" width="11.1640625" style="1" customWidth="1"/>
    <col min="6405" max="6405" width="9" style="1" customWidth="1"/>
    <col min="6406" max="6406" width="8.1640625" style="1" customWidth="1"/>
    <col min="6407" max="6407" width="8.33203125" style="1" customWidth="1"/>
    <col min="6408" max="6408" width="8" style="1" customWidth="1"/>
    <col min="6409" max="6409" width="8.5" style="1" customWidth="1"/>
    <col min="6410" max="6410" width="9" style="1" customWidth="1"/>
    <col min="6411" max="6411" width="8.33203125" style="1" customWidth="1"/>
    <col min="6412" max="6412" width="7.1640625" style="1" customWidth="1"/>
    <col min="6413" max="6413" width="7.83203125" style="1" customWidth="1"/>
    <col min="6414" max="6414" width="8.5" style="1" customWidth="1"/>
    <col min="6415" max="6415" width="9.1640625" style="1" customWidth="1"/>
    <col min="6416" max="6417" width="8.1640625" style="1" customWidth="1"/>
    <col min="6418" max="6419" width="8.5" style="1" customWidth="1"/>
    <col min="6420" max="6420" width="10.5" style="1" customWidth="1"/>
    <col min="6421" max="6421" width="8.83203125" style="1" customWidth="1"/>
    <col min="6422" max="6422" width="2.33203125" style="1" customWidth="1"/>
    <col min="6423" max="6423" width="15.5" style="1" customWidth="1"/>
    <col min="6424" max="6424" width="8.5" style="1" customWidth="1"/>
    <col min="6425" max="6425" width="15" style="1" customWidth="1"/>
    <col min="6426" max="6430" width="8.83203125" style="1"/>
    <col min="6431" max="6431" width="17.1640625" style="1" customWidth="1"/>
    <col min="6432" max="6432" width="16" style="1" customWidth="1"/>
    <col min="6433" max="6433" width="9.6640625" style="1" customWidth="1"/>
    <col min="6434" max="6656" width="8.83203125" style="1"/>
    <col min="6657" max="6657" width="2.5" style="1" customWidth="1"/>
    <col min="6658" max="6658" width="2.33203125" style="1" customWidth="1"/>
    <col min="6659" max="6659" width="17.6640625" style="1" customWidth="1"/>
    <col min="6660" max="6660" width="11.1640625" style="1" customWidth="1"/>
    <col min="6661" max="6661" width="9" style="1" customWidth="1"/>
    <col min="6662" max="6662" width="8.1640625" style="1" customWidth="1"/>
    <col min="6663" max="6663" width="8.33203125" style="1" customWidth="1"/>
    <col min="6664" max="6664" width="8" style="1" customWidth="1"/>
    <col min="6665" max="6665" width="8.5" style="1" customWidth="1"/>
    <col min="6666" max="6666" width="9" style="1" customWidth="1"/>
    <col min="6667" max="6667" width="8.33203125" style="1" customWidth="1"/>
    <col min="6668" max="6668" width="7.1640625" style="1" customWidth="1"/>
    <col min="6669" max="6669" width="7.83203125" style="1" customWidth="1"/>
    <col min="6670" max="6670" width="8.5" style="1" customWidth="1"/>
    <col min="6671" max="6671" width="9.1640625" style="1" customWidth="1"/>
    <col min="6672" max="6673" width="8.1640625" style="1" customWidth="1"/>
    <col min="6674" max="6675" width="8.5" style="1" customWidth="1"/>
    <col min="6676" max="6676" width="10.5" style="1" customWidth="1"/>
    <col min="6677" max="6677" width="8.83203125" style="1" customWidth="1"/>
    <col min="6678" max="6678" width="2.33203125" style="1" customWidth="1"/>
    <col min="6679" max="6679" width="15.5" style="1" customWidth="1"/>
    <col min="6680" max="6680" width="8.5" style="1" customWidth="1"/>
    <col min="6681" max="6681" width="15" style="1" customWidth="1"/>
    <col min="6682" max="6686" width="8.83203125" style="1"/>
    <col min="6687" max="6687" width="17.1640625" style="1" customWidth="1"/>
    <col min="6688" max="6688" width="16" style="1" customWidth="1"/>
    <col min="6689" max="6689" width="9.6640625" style="1" customWidth="1"/>
    <col min="6690" max="6912" width="8.83203125" style="1"/>
    <col min="6913" max="6913" width="2.5" style="1" customWidth="1"/>
    <col min="6914" max="6914" width="2.33203125" style="1" customWidth="1"/>
    <col min="6915" max="6915" width="17.6640625" style="1" customWidth="1"/>
    <col min="6916" max="6916" width="11.1640625" style="1" customWidth="1"/>
    <col min="6917" max="6917" width="9" style="1" customWidth="1"/>
    <col min="6918" max="6918" width="8.1640625" style="1" customWidth="1"/>
    <col min="6919" max="6919" width="8.33203125" style="1" customWidth="1"/>
    <col min="6920" max="6920" width="8" style="1" customWidth="1"/>
    <col min="6921" max="6921" width="8.5" style="1" customWidth="1"/>
    <col min="6922" max="6922" width="9" style="1" customWidth="1"/>
    <col min="6923" max="6923" width="8.33203125" style="1" customWidth="1"/>
    <col min="6924" max="6924" width="7.1640625" style="1" customWidth="1"/>
    <col min="6925" max="6925" width="7.83203125" style="1" customWidth="1"/>
    <col min="6926" max="6926" width="8.5" style="1" customWidth="1"/>
    <col min="6927" max="6927" width="9.1640625" style="1" customWidth="1"/>
    <col min="6928" max="6929" width="8.1640625" style="1" customWidth="1"/>
    <col min="6930" max="6931" width="8.5" style="1" customWidth="1"/>
    <col min="6932" max="6932" width="10.5" style="1" customWidth="1"/>
    <col min="6933" max="6933" width="8.83203125" style="1" customWidth="1"/>
    <col min="6934" max="6934" width="2.33203125" style="1" customWidth="1"/>
    <col min="6935" max="6935" width="15.5" style="1" customWidth="1"/>
    <col min="6936" max="6936" width="8.5" style="1" customWidth="1"/>
    <col min="6937" max="6937" width="15" style="1" customWidth="1"/>
    <col min="6938" max="6942" width="8.83203125" style="1"/>
    <col min="6943" max="6943" width="17.1640625" style="1" customWidth="1"/>
    <col min="6944" max="6944" width="16" style="1" customWidth="1"/>
    <col min="6945" max="6945" width="9.6640625" style="1" customWidth="1"/>
    <col min="6946" max="7168" width="8.83203125" style="1"/>
    <col min="7169" max="7169" width="2.5" style="1" customWidth="1"/>
    <col min="7170" max="7170" width="2.33203125" style="1" customWidth="1"/>
    <col min="7171" max="7171" width="17.6640625" style="1" customWidth="1"/>
    <col min="7172" max="7172" width="11.1640625" style="1" customWidth="1"/>
    <col min="7173" max="7173" width="9" style="1" customWidth="1"/>
    <col min="7174" max="7174" width="8.1640625" style="1" customWidth="1"/>
    <col min="7175" max="7175" width="8.33203125" style="1" customWidth="1"/>
    <col min="7176" max="7176" width="8" style="1" customWidth="1"/>
    <col min="7177" max="7177" width="8.5" style="1" customWidth="1"/>
    <col min="7178" max="7178" width="9" style="1" customWidth="1"/>
    <col min="7179" max="7179" width="8.33203125" style="1" customWidth="1"/>
    <col min="7180" max="7180" width="7.1640625" style="1" customWidth="1"/>
    <col min="7181" max="7181" width="7.83203125" style="1" customWidth="1"/>
    <col min="7182" max="7182" width="8.5" style="1" customWidth="1"/>
    <col min="7183" max="7183" width="9.1640625" style="1" customWidth="1"/>
    <col min="7184" max="7185" width="8.1640625" style="1" customWidth="1"/>
    <col min="7186" max="7187" width="8.5" style="1" customWidth="1"/>
    <col min="7188" max="7188" width="10.5" style="1" customWidth="1"/>
    <col min="7189" max="7189" width="8.83203125" style="1" customWidth="1"/>
    <col min="7190" max="7190" width="2.33203125" style="1" customWidth="1"/>
    <col min="7191" max="7191" width="15.5" style="1" customWidth="1"/>
    <col min="7192" max="7192" width="8.5" style="1" customWidth="1"/>
    <col min="7193" max="7193" width="15" style="1" customWidth="1"/>
    <col min="7194" max="7198" width="8.83203125" style="1"/>
    <col min="7199" max="7199" width="17.1640625" style="1" customWidth="1"/>
    <col min="7200" max="7200" width="16" style="1" customWidth="1"/>
    <col min="7201" max="7201" width="9.6640625" style="1" customWidth="1"/>
    <col min="7202" max="7424" width="8.83203125" style="1"/>
    <col min="7425" max="7425" width="2.5" style="1" customWidth="1"/>
    <col min="7426" max="7426" width="2.33203125" style="1" customWidth="1"/>
    <col min="7427" max="7427" width="17.6640625" style="1" customWidth="1"/>
    <col min="7428" max="7428" width="11.1640625" style="1" customWidth="1"/>
    <col min="7429" max="7429" width="9" style="1" customWidth="1"/>
    <col min="7430" max="7430" width="8.1640625" style="1" customWidth="1"/>
    <col min="7431" max="7431" width="8.33203125" style="1" customWidth="1"/>
    <col min="7432" max="7432" width="8" style="1" customWidth="1"/>
    <col min="7433" max="7433" width="8.5" style="1" customWidth="1"/>
    <col min="7434" max="7434" width="9" style="1" customWidth="1"/>
    <col min="7435" max="7435" width="8.33203125" style="1" customWidth="1"/>
    <col min="7436" max="7436" width="7.1640625" style="1" customWidth="1"/>
    <col min="7437" max="7437" width="7.83203125" style="1" customWidth="1"/>
    <col min="7438" max="7438" width="8.5" style="1" customWidth="1"/>
    <col min="7439" max="7439" width="9.1640625" style="1" customWidth="1"/>
    <col min="7440" max="7441" width="8.1640625" style="1" customWidth="1"/>
    <col min="7442" max="7443" width="8.5" style="1" customWidth="1"/>
    <col min="7444" max="7444" width="10.5" style="1" customWidth="1"/>
    <col min="7445" max="7445" width="8.83203125" style="1" customWidth="1"/>
    <col min="7446" max="7446" width="2.33203125" style="1" customWidth="1"/>
    <col min="7447" max="7447" width="15.5" style="1" customWidth="1"/>
    <col min="7448" max="7448" width="8.5" style="1" customWidth="1"/>
    <col min="7449" max="7449" width="15" style="1" customWidth="1"/>
    <col min="7450" max="7454" width="8.83203125" style="1"/>
    <col min="7455" max="7455" width="17.1640625" style="1" customWidth="1"/>
    <col min="7456" max="7456" width="16" style="1" customWidth="1"/>
    <col min="7457" max="7457" width="9.6640625" style="1" customWidth="1"/>
    <col min="7458" max="7680" width="8.83203125" style="1"/>
    <col min="7681" max="7681" width="2.5" style="1" customWidth="1"/>
    <col min="7682" max="7682" width="2.33203125" style="1" customWidth="1"/>
    <col min="7683" max="7683" width="17.6640625" style="1" customWidth="1"/>
    <col min="7684" max="7684" width="11.1640625" style="1" customWidth="1"/>
    <col min="7685" max="7685" width="9" style="1" customWidth="1"/>
    <col min="7686" max="7686" width="8.1640625" style="1" customWidth="1"/>
    <col min="7687" max="7687" width="8.33203125" style="1" customWidth="1"/>
    <col min="7688" max="7688" width="8" style="1" customWidth="1"/>
    <col min="7689" max="7689" width="8.5" style="1" customWidth="1"/>
    <col min="7690" max="7690" width="9" style="1" customWidth="1"/>
    <col min="7691" max="7691" width="8.33203125" style="1" customWidth="1"/>
    <col min="7692" max="7692" width="7.1640625" style="1" customWidth="1"/>
    <col min="7693" max="7693" width="7.83203125" style="1" customWidth="1"/>
    <col min="7694" max="7694" width="8.5" style="1" customWidth="1"/>
    <col min="7695" max="7695" width="9.1640625" style="1" customWidth="1"/>
    <col min="7696" max="7697" width="8.1640625" style="1" customWidth="1"/>
    <col min="7698" max="7699" width="8.5" style="1" customWidth="1"/>
    <col min="7700" max="7700" width="10.5" style="1" customWidth="1"/>
    <col min="7701" max="7701" width="8.83203125" style="1" customWidth="1"/>
    <col min="7702" max="7702" width="2.33203125" style="1" customWidth="1"/>
    <col min="7703" max="7703" width="15.5" style="1" customWidth="1"/>
    <col min="7704" max="7704" width="8.5" style="1" customWidth="1"/>
    <col min="7705" max="7705" width="15" style="1" customWidth="1"/>
    <col min="7706" max="7710" width="8.83203125" style="1"/>
    <col min="7711" max="7711" width="17.1640625" style="1" customWidth="1"/>
    <col min="7712" max="7712" width="16" style="1" customWidth="1"/>
    <col min="7713" max="7713" width="9.6640625" style="1" customWidth="1"/>
    <col min="7714" max="7936" width="8.83203125" style="1"/>
    <col min="7937" max="7937" width="2.5" style="1" customWidth="1"/>
    <col min="7938" max="7938" width="2.33203125" style="1" customWidth="1"/>
    <col min="7939" max="7939" width="17.6640625" style="1" customWidth="1"/>
    <col min="7940" max="7940" width="11.1640625" style="1" customWidth="1"/>
    <col min="7941" max="7941" width="9" style="1" customWidth="1"/>
    <col min="7942" max="7942" width="8.1640625" style="1" customWidth="1"/>
    <col min="7943" max="7943" width="8.33203125" style="1" customWidth="1"/>
    <col min="7944" max="7944" width="8" style="1" customWidth="1"/>
    <col min="7945" max="7945" width="8.5" style="1" customWidth="1"/>
    <col min="7946" max="7946" width="9" style="1" customWidth="1"/>
    <col min="7947" max="7947" width="8.33203125" style="1" customWidth="1"/>
    <col min="7948" max="7948" width="7.1640625" style="1" customWidth="1"/>
    <col min="7949" max="7949" width="7.83203125" style="1" customWidth="1"/>
    <col min="7950" max="7950" width="8.5" style="1" customWidth="1"/>
    <col min="7951" max="7951" width="9.1640625" style="1" customWidth="1"/>
    <col min="7952" max="7953" width="8.1640625" style="1" customWidth="1"/>
    <col min="7954" max="7955" width="8.5" style="1" customWidth="1"/>
    <col min="7956" max="7956" width="10.5" style="1" customWidth="1"/>
    <col min="7957" max="7957" width="8.83203125" style="1" customWidth="1"/>
    <col min="7958" max="7958" width="2.33203125" style="1" customWidth="1"/>
    <col min="7959" max="7959" width="15.5" style="1" customWidth="1"/>
    <col min="7960" max="7960" width="8.5" style="1" customWidth="1"/>
    <col min="7961" max="7961" width="15" style="1" customWidth="1"/>
    <col min="7962" max="7966" width="8.83203125" style="1"/>
    <col min="7967" max="7967" width="17.1640625" style="1" customWidth="1"/>
    <col min="7968" max="7968" width="16" style="1" customWidth="1"/>
    <col min="7969" max="7969" width="9.6640625" style="1" customWidth="1"/>
    <col min="7970" max="8192" width="8.83203125" style="1"/>
    <col min="8193" max="8193" width="2.5" style="1" customWidth="1"/>
    <col min="8194" max="8194" width="2.33203125" style="1" customWidth="1"/>
    <col min="8195" max="8195" width="17.6640625" style="1" customWidth="1"/>
    <col min="8196" max="8196" width="11.1640625" style="1" customWidth="1"/>
    <col min="8197" max="8197" width="9" style="1" customWidth="1"/>
    <col min="8198" max="8198" width="8.1640625" style="1" customWidth="1"/>
    <col min="8199" max="8199" width="8.33203125" style="1" customWidth="1"/>
    <col min="8200" max="8200" width="8" style="1" customWidth="1"/>
    <col min="8201" max="8201" width="8.5" style="1" customWidth="1"/>
    <col min="8202" max="8202" width="9" style="1" customWidth="1"/>
    <col min="8203" max="8203" width="8.33203125" style="1" customWidth="1"/>
    <col min="8204" max="8204" width="7.1640625" style="1" customWidth="1"/>
    <col min="8205" max="8205" width="7.83203125" style="1" customWidth="1"/>
    <col min="8206" max="8206" width="8.5" style="1" customWidth="1"/>
    <col min="8207" max="8207" width="9.1640625" style="1" customWidth="1"/>
    <col min="8208" max="8209" width="8.1640625" style="1" customWidth="1"/>
    <col min="8210" max="8211" width="8.5" style="1" customWidth="1"/>
    <col min="8212" max="8212" width="10.5" style="1" customWidth="1"/>
    <col min="8213" max="8213" width="8.83203125" style="1" customWidth="1"/>
    <col min="8214" max="8214" width="2.33203125" style="1" customWidth="1"/>
    <col min="8215" max="8215" width="15.5" style="1" customWidth="1"/>
    <col min="8216" max="8216" width="8.5" style="1" customWidth="1"/>
    <col min="8217" max="8217" width="15" style="1" customWidth="1"/>
    <col min="8218" max="8222" width="8.83203125" style="1"/>
    <col min="8223" max="8223" width="17.1640625" style="1" customWidth="1"/>
    <col min="8224" max="8224" width="16" style="1" customWidth="1"/>
    <col min="8225" max="8225" width="9.6640625" style="1" customWidth="1"/>
    <col min="8226" max="8448" width="8.83203125" style="1"/>
    <col min="8449" max="8449" width="2.5" style="1" customWidth="1"/>
    <col min="8450" max="8450" width="2.33203125" style="1" customWidth="1"/>
    <col min="8451" max="8451" width="17.6640625" style="1" customWidth="1"/>
    <col min="8452" max="8452" width="11.1640625" style="1" customWidth="1"/>
    <col min="8453" max="8453" width="9" style="1" customWidth="1"/>
    <col min="8454" max="8454" width="8.1640625" style="1" customWidth="1"/>
    <col min="8455" max="8455" width="8.33203125" style="1" customWidth="1"/>
    <col min="8456" max="8456" width="8" style="1" customWidth="1"/>
    <col min="8457" max="8457" width="8.5" style="1" customWidth="1"/>
    <col min="8458" max="8458" width="9" style="1" customWidth="1"/>
    <col min="8459" max="8459" width="8.33203125" style="1" customWidth="1"/>
    <col min="8460" max="8460" width="7.1640625" style="1" customWidth="1"/>
    <col min="8461" max="8461" width="7.83203125" style="1" customWidth="1"/>
    <col min="8462" max="8462" width="8.5" style="1" customWidth="1"/>
    <col min="8463" max="8463" width="9.1640625" style="1" customWidth="1"/>
    <col min="8464" max="8465" width="8.1640625" style="1" customWidth="1"/>
    <col min="8466" max="8467" width="8.5" style="1" customWidth="1"/>
    <col min="8468" max="8468" width="10.5" style="1" customWidth="1"/>
    <col min="8469" max="8469" width="8.83203125" style="1" customWidth="1"/>
    <col min="8470" max="8470" width="2.33203125" style="1" customWidth="1"/>
    <col min="8471" max="8471" width="15.5" style="1" customWidth="1"/>
    <col min="8472" max="8472" width="8.5" style="1" customWidth="1"/>
    <col min="8473" max="8473" width="15" style="1" customWidth="1"/>
    <col min="8474" max="8478" width="8.83203125" style="1"/>
    <col min="8479" max="8479" width="17.1640625" style="1" customWidth="1"/>
    <col min="8480" max="8480" width="16" style="1" customWidth="1"/>
    <col min="8481" max="8481" width="9.6640625" style="1" customWidth="1"/>
    <col min="8482" max="8704" width="8.83203125" style="1"/>
    <col min="8705" max="8705" width="2.5" style="1" customWidth="1"/>
    <col min="8706" max="8706" width="2.33203125" style="1" customWidth="1"/>
    <col min="8707" max="8707" width="17.6640625" style="1" customWidth="1"/>
    <col min="8708" max="8708" width="11.1640625" style="1" customWidth="1"/>
    <col min="8709" max="8709" width="9" style="1" customWidth="1"/>
    <col min="8710" max="8710" width="8.1640625" style="1" customWidth="1"/>
    <col min="8711" max="8711" width="8.33203125" style="1" customWidth="1"/>
    <col min="8712" max="8712" width="8" style="1" customWidth="1"/>
    <col min="8713" max="8713" width="8.5" style="1" customWidth="1"/>
    <col min="8714" max="8714" width="9" style="1" customWidth="1"/>
    <col min="8715" max="8715" width="8.33203125" style="1" customWidth="1"/>
    <col min="8716" max="8716" width="7.1640625" style="1" customWidth="1"/>
    <col min="8717" max="8717" width="7.83203125" style="1" customWidth="1"/>
    <col min="8718" max="8718" width="8.5" style="1" customWidth="1"/>
    <col min="8719" max="8719" width="9.1640625" style="1" customWidth="1"/>
    <col min="8720" max="8721" width="8.1640625" style="1" customWidth="1"/>
    <col min="8722" max="8723" width="8.5" style="1" customWidth="1"/>
    <col min="8724" max="8724" width="10.5" style="1" customWidth="1"/>
    <col min="8725" max="8725" width="8.83203125" style="1" customWidth="1"/>
    <col min="8726" max="8726" width="2.33203125" style="1" customWidth="1"/>
    <col min="8727" max="8727" width="15.5" style="1" customWidth="1"/>
    <col min="8728" max="8728" width="8.5" style="1" customWidth="1"/>
    <col min="8729" max="8729" width="15" style="1" customWidth="1"/>
    <col min="8730" max="8734" width="8.83203125" style="1"/>
    <col min="8735" max="8735" width="17.1640625" style="1" customWidth="1"/>
    <col min="8736" max="8736" width="16" style="1" customWidth="1"/>
    <col min="8737" max="8737" width="9.6640625" style="1" customWidth="1"/>
    <col min="8738" max="8960" width="8.83203125" style="1"/>
    <col min="8961" max="8961" width="2.5" style="1" customWidth="1"/>
    <col min="8962" max="8962" width="2.33203125" style="1" customWidth="1"/>
    <col min="8963" max="8963" width="17.6640625" style="1" customWidth="1"/>
    <col min="8964" max="8964" width="11.1640625" style="1" customWidth="1"/>
    <col min="8965" max="8965" width="9" style="1" customWidth="1"/>
    <col min="8966" max="8966" width="8.1640625" style="1" customWidth="1"/>
    <col min="8967" max="8967" width="8.33203125" style="1" customWidth="1"/>
    <col min="8968" max="8968" width="8" style="1" customWidth="1"/>
    <col min="8969" max="8969" width="8.5" style="1" customWidth="1"/>
    <col min="8970" max="8970" width="9" style="1" customWidth="1"/>
    <col min="8971" max="8971" width="8.33203125" style="1" customWidth="1"/>
    <col min="8972" max="8972" width="7.1640625" style="1" customWidth="1"/>
    <col min="8973" max="8973" width="7.83203125" style="1" customWidth="1"/>
    <col min="8974" max="8974" width="8.5" style="1" customWidth="1"/>
    <col min="8975" max="8975" width="9.1640625" style="1" customWidth="1"/>
    <col min="8976" max="8977" width="8.1640625" style="1" customWidth="1"/>
    <col min="8978" max="8979" width="8.5" style="1" customWidth="1"/>
    <col min="8980" max="8980" width="10.5" style="1" customWidth="1"/>
    <col min="8981" max="8981" width="8.83203125" style="1" customWidth="1"/>
    <col min="8982" max="8982" width="2.33203125" style="1" customWidth="1"/>
    <col min="8983" max="8983" width="15.5" style="1" customWidth="1"/>
    <col min="8984" max="8984" width="8.5" style="1" customWidth="1"/>
    <col min="8985" max="8985" width="15" style="1" customWidth="1"/>
    <col min="8986" max="8990" width="8.83203125" style="1"/>
    <col min="8991" max="8991" width="17.1640625" style="1" customWidth="1"/>
    <col min="8992" max="8992" width="16" style="1" customWidth="1"/>
    <col min="8993" max="8993" width="9.6640625" style="1" customWidth="1"/>
    <col min="8994" max="9216" width="8.83203125" style="1"/>
    <col min="9217" max="9217" width="2.5" style="1" customWidth="1"/>
    <col min="9218" max="9218" width="2.33203125" style="1" customWidth="1"/>
    <col min="9219" max="9219" width="17.6640625" style="1" customWidth="1"/>
    <col min="9220" max="9220" width="11.1640625" style="1" customWidth="1"/>
    <col min="9221" max="9221" width="9" style="1" customWidth="1"/>
    <col min="9222" max="9222" width="8.1640625" style="1" customWidth="1"/>
    <col min="9223" max="9223" width="8.33203125" style="1" customWidth="1"/>
    <col min="9224" max="9224" width="8" style="1" customWidth="1"/>
    <col min="9225" max="9225" width="8.5" style="1" customWidth="1"/>
    <col min="9226" max="9226" width="9" style="1" customWidth="1"/>
    <col min="9227" max="9227" width="8.33203125" style="1" customWidth="1"/>
    <col min="9228" max="9228" width="7.1640625" style="1" customWidth="1"/>
    <col min="9229" max="9229" width="7.83203125" style="1" customWidth="1"/>
    <col min="9230" max="9230" width="8.5" style="1" customWidth="1"/>
    <col min="9231" max="9231" width="9.1640625" style="1" customWidth="1"/>
    <col min="9232" max="9233" width="8.1640625" style="1" customWidth="1"/>
    <col min="9234" max="9235" width="8.5" style="1" customWidth="1"/>
    <col min="9236" max="9236" width="10.5" style="1" customWidth="1"/>
    <col min="9237" max="9237" width="8.83203125" style="1" customWidth="1"/>
    <col min="9238" max="9238" width="2.33203125" style="1" customWidth="1"/>
    <col min="9239" max="9239" width="15.5" style="1" customWidth="1"/>
    <col min="9240" max="9240" width="8.5" style="1" customWidth="1"/>
    <col min="9241" max="9241" width="15" style="1" customWidth="1"/>
    <col min="9242" max="9246" width="8.83203125" style="1"/>
    <col min="9247" max="9247" width="17.1640625" style="1" customWidth="1"/>
    <col min="9248" max="9248" width="16" style="1" customWidth="1"/>
    <col min="9249" max="9249" width="9.6640625" style="1" customWidth="1"/>
    <col min="9250" max="9472" width="8.83203125" style="1"/>
    <col min="9473" max="9473" width="2.5" style="1" customWidth="1"/>
    <col min="9474" max="9474" width="2.33203125" style="1" customWidth="1"/>
    <col min="9475" max="9475" width="17.6640625" style="1" customWidth="1"/>
    <col min="9476" max="9476" width="11.1640625" style="1" customWidth="1"/>
    <col min="9477" max="9477" width="9" style="1" customWidth="1"/>
    <col min="9478" max="9478" width="8.1640625" style="1" customWidth="1"/>
    <col min="9479" max="9479" width="8.33203125" style="1" customWidth="1"/>
    <col min="9480" max="9480" width="8" style="1" customWidth="1"/>
    <col min="9481" max="9481" width="8.5" style="1" customWidth="1"/>
    <col min="9482" max="9482" width="9" style="1" customWidth="1"/>
    <col min="9483" max="9483" width="8.33203125" style="1" customWidth="1"/>
    <col min="9484" max="9484" width="7.1640625" style="1" customWidth="1"/>
    <col min="9485" max="9485" width="7.83203125" style="1" customWidth="1"/>
    <col min="9486" max="9486" width="8.5" style="1" customWidth="1"/>
    <col min="9487" max="9487" width="9.1640625" style="1" customWidth="1"/>
    <col min="9488" max="9489" width="8.1640625" style="1" customWidth="1"/>
    <col min="9490" max="9491" width="8.5" style="1" customWidth="1"/>
    <col min="9492" max="9492" width="10.5" style="1" customWidth="1"/>
    <col min="9493" max="9493" width="8.83203125" style="1" customWidth="1"/>
    <col min="9494" max="9494" width="2.33203125" style="1" customWidth="1"/>
    <col min="9495" max="9495" width="15.5" style="1" customWidth="1"/>
    <col min="9496" max="9496" width="8.5" style="1" customWidth="1"/>
    <col min="9497" max="9497" width="15" style="1" customWidth="1"/>
    <col min="9498" max="9502" width="8.83203125" style="1"/>
    <col min="9503" max="9503" width="17.1640625" style="1" customWidth="1"/>
    <col min="9504" max="9504" width="16" style="1" customWidth="1"/>
    <col min="9505" max="9505" width="9.6640625" style="1" customWidth="1"/>
    <col min="9506" max="9728" width="8.83203125" style="1"/>
    <col min="9729" max="9729" width="2.5" style="1" customWidth="1"/>
    <col min="9730" max="9730" width="2.33203125" style="1" customWidth="1"/>
    <col min="9731" max="9731" width="17.6640625" style="1" customWidth="1"/>
    <col min="9732" max="9732" width="11.1640625" style="1" customWidth="1"/>
    <col min="9733" max="9733" width="9" style="1" customWidth="1"/>
    <col min="9734" max="9734" width="8.1640625" style="1" customWidth="1"/>
    <col min="9735" max="9735" width="8.33203125" style="1" customWidth="1"/>
    <col min="9736" max="9736" width="8" style="1" customWidth="1"/>
    <col min="9737" max="9737" width="8.5" style="1" customWidth="1"/>
    <col min="9738" max="9738" width="9" style="1" customWidth="1"/>
    <col min="9739" max="9739" width="8.33203125" style="1" customWidth="1"/>
    <col min="9740" max="9740" width="7.1640625" style="1" customWidth="1"/>
    <col min="9741" max="9741" width="7.83203125" style="1" customWidth="1"/>
    <col min="9742" max="9742" width="8.5" style="1" customWidth="1"/>
    <col min="9743" max="9743" width="9.1640625" style="1" customWidth="1"/>
    <col min="9744" max="9745" width="8.1640625" style="1" customWidth="1"/>
    <col min="9746" max="9747" width="8.5" style="1" customWidth="1"/>
    <col min="9748" max="9748" width="10.5" style="1" customWidth="1"/>
    <col min="9749" max="9749" width="8.83203125" style="1" customWidth="1"/>
    <col min="9750" max="9750" width="2.33203125" style="1" customWidth="1"/>
    <col min="9751" max="9751" width="15.5" style="1" customWidth="1"/>
    <col min="9752" max="9752" width="8.5" style="1" customWidth="1"/>
    <col min="9753" max="9753" width="15" style="1" customWidth="1"/>
    <col min="9754" max="9758" width="8.83203125" style="1"/>
    <col min="9759" max="9759" width="17.1640625" style="1" customWidth="1"/>
    <col min="9760" max="9760" width="16" style="1" customWidth="1"/>
    <col min="9761" max="9761" width="9.6640625" style="1" customWidth="1"/>
    <col min="9762" max="9984" width="8.83203125" style="1"/>
    <col min="9985" max="9985" width="2.5" style="1" customWidth="1"/>
    <col min="9986" max="9986" width="2.33203125" style="1" customWidth="1"/>
    <col min="9987" max="9987" width="17.6640625" style="1" customWidth="1"/>
    <col min="9988" max="9988" width="11.1640625" style="1" customWidth="1"/>
    <col min="9989" max="9989" width="9" style="1" customWidth="1"/>
    <col min="9990" max="9990" width="8.1640625" style="1" customWidth="1"/>
    <col min="9991" max="9991" width="8.33203125" style="1" customWidth="1"/>
    <col min="9992" max="9992" width="8" style="1" customWidth="1"/>
    <col min="9993" max="9993" width="8.5" style="1" customWidth="1"/>
    <col min="9994" max="9994" width="9" style="1" customWidth="1"/>
    <col min="9995" max="9995" width="8.33203125" style="1" customWidth="1"/>
    <col min="9996" max="9996" width="7.1640625" style="1" customWidth="1"/>
    <col min="9997" max="9997" width="7.83203125" style="1" customWidth="1"/>
    <col min="9998" max="9998" width="8.5" style="1" customWidth="1"/>
    <col min="9999" max="9999" width="9.1640625" style="1" customWidth="1"/>
    <col min="10000" max="10001" width="8.1640625" style="1" customWidth="1"/>
    <col min="10002" max="10003" width="8.5" style="1" customWidth="1"/>
    <col min="10004" max="10004" width="10.5" style="1" customWidth="1"/>
    <col min="10005" max="10005" width="8.83203125" style="1" customWidth="1"/>
    <col min="10006" max="10006" width="2.33203125" style="1" customWidth="1"/>
    <col min="10007" max="10007" width="15.5" style="1" customWidth="1"/>
    <col min="10008" max="10008" width="8.5" style="1" customWidth="1"/>
    <col min="10009" max="10009" width="15" style="1" customWidth="1"/>
    <col min="10010" max="10014" width="8.83203125" style="1"/>
    <col min="10015" max="10015" width="17.1640625" style="1" customWidth="1"/>
    <col min="10016" max="10016" width="16" style="1" customWidth="1"/>
    <col min="10017" max="10017" width="9.6640625" style="1" customWidth="1"/>
    <col min="10018" max="10240" width="8.83203125" style="1"/>
    <col min="10241" max="10241" width="2.5" style="1" customWidth="1"/>
    <col min="10242" max="10242" width="2.33203125" style="1" customWidth="1"/>
    <col min="10243" max="10243" width="17.6640625" style="1" customWidth="1"/>
    <col min="10244" max="10244" width="11.1640625" style="1" customWidth="1"/>
    <col min="10245" max="10245" width="9" style="1" customWidth="1"/>
    <col min="10246" max="10246" width="8.1640625" style="1" customWidth="1"/>
    <col min="10247" max="10247" width="8.33203125" style="1" customWidth="1"/>
    <col min="10248" max="10248" width="8" style="1" customWidth="1"/>
    <col min="10249" max="10249" width="8.5" style="1" customWidth="1"/>
    <col min="10250" max="10250" width="9" style="1" customWidth="1"/>
    <col min="10251" max="10251" width="8.33203125" style="1" customWidth="1"/>
    <col min="10252" max="10252" width="7.1640625" style="1" customWidth="1"/>
    <col min="10253" max="10253" width="7.83203125" style="1" customWidth="1"/>
    <col min="10254" max="10254" width="8.5" style="1" customWidth="1"/>
    <col min="10255" max="10255" width="9.1640625" style="1" customWidth="1"/>
    <col min="10256" max="10257" width="8.1640625" style="1" customWidth="1"/>
    <col min="10258" max="10259" width="8.5" style="1" customWidth="1"/>
    <col min="10260" max="10260" width="10.5" style="1" customWidth="1"/>
    <col min="10261" max="10261" width="8.83203125" style="1" customWidth="1"/>
    <col min="10262" max="10262" width="2.33203125" style="1" customWidth="1"/>
    <col min="10263" max="10263" width="15.5" style="1" customWidth="1"/>
    <col min="10264" max="10264" width="8.5" style="1" customWidth="1"/>
    <col min="10265" max="10265" width="15" style="1" customWidth="1"/>
    <col min="10266" max="10270" width="8.83203125" style="1"/>
    <col min="10271" max="10271" width="17.1640625" style="1" customWidth="1"/>
    <col min="10272" max="10272" width="16" style="1" customWidth="1"/>
    <col min="10273" max="10273" width="9.6640625" style="1" customWidth="1"/>
    <col min="10274" max="10496" width="8.83203125" style="1"/>
    <col min="10497" max="10497" width="2.5" style="1" customWidth="1"/>
    <col min="10498" max="10498" width="2.33203125" style="1" customWidth="1"/>
    <col min="10499" max="10499" width="17.6640625" style="1" customWidth="1"/>
    <col min="10500" max="10500" width="11.1640625" style="1" customWidth="1"/>
    <col min="10501" max="10501" width="9" style="1" customWidth="1"/>
    <col min="10502" max="10502" width="8.1640625" style="1" customWidth="1"/>
    <col min="10503" max="10503" width="8.33203125" style="1" customWidth="1"/>
    <col min="10504" max="10504" width="8" style="1" customWidth="1"/>
    <col min="10505" max="10505" width="8.5" style="1" customWidth="1"/>
    <col min="10506" max="10506" width="9" style="1" customWidth="1"/>
    <col min="10507" max="10507" width="8.33203125" style="1" customWidth="1"/>
    <col min="10508" max="10508" width="7.1640625" style="1" customWidth="1"/>
    <col min="10509" max="10509" width="7.83203125" style="1" customWidth="1"/>
    <col min="10510" max="10510" width="8.5" style="1" customWidth="1"/>
    <col min="10511" max="10511" width="9.1640625" style="1" customWidth="1"/>
    <col min="10512" max="10513" width="8.1640625" style="1" customWidth="1"/>
    <col min="10514" max="10515" width="8.5" style="1" customWidth="1"/>
    <col min="10516" max="10516" width="10.5" style="1" customWidth="1"/>
    <col min="10517" max="10517" width="8.83203125" style="1" customWidth="1"/>
    <col min="10518" max="10518" width="2.33203125" style="1" customWidth="1"/>
    <col min="10519" max="10519" width="15.5" style="1" customWidth="1"/>
    <col min="10520" max="10520" width="8.5" style="1" customWidth="1"/>
    <col min="10521" max="10521" width="15" style="1" customWidth="1"/>
    <col min="10522" max="10526" width="8.83203125" style="1"/>
    <col min="10527" max="10527" width="17.1640625" style="1" customWidth="1"/>
    <col min="10528" max="10528" width="16" style="1" customWidth="1"/>
    <col min="10529" max="10529" width="9.6640625" style="1" customWidth="1"/>
    <col min="10530" max="10752" width="8.83203125" style="1"/>
    <col min="10753" max="10753" width="2.5" style="1" customWidth="1"/>
    <col min="10754" max="10754" width="2.33203125" style="1" customWidth="1"/>
    <col min="10755" max="10755" width="17.6640625" style="1" customWidth="1"/>
    <col min="10756" max="10756" width="11.1640625" style="1" customWidth="1"/>
    <col min="10757" max="10757" width="9" style="1" customWidth="1"/>
    <col min="10758" max="10758" width="8.1640625" style="1" customWidth="1"/>
    <col min="10759" max="10759" width="8.33203125" style="1" customWidth="1"/>
    <col min="10760" max="10760" width="8" style="1" customWidth="1"/>
    <col min="10761" max="10761" width="8.5" style="1" customWidth="1"/>
    <col min="10762" max="10762" width="9" style="1" customWidth="1"/>
    <col min="10763" max="10763" width="8.33203125" style="1" customWidth="1"/>
    <col min="10764" max="10764" width="7.1640625" style="1" customWidth="1"/>
    <col min="10765" max="10765" width="7.83203125" style="1" customWidth="1"/>
    <col min="10766" max="10766" width="8.5" style="1" customWidth="1"/>
    <col min="10767" max="10767" width="9.1640625" style="1" customWidth="1"/>
    <col min="10768" max="10769" width="8.1640625" style="1" customWidth="1"/>
    <col min="10770" max="10771" width="8.5" style="1" customWidth="1"/>
    <col min="10772" max="10772" width="10.5" style="1" customWidth="1"/>
    <col min="10773" max="10773" width="8.83203125" style="1" customWidth="1"/>
    <col min="10774" max="10774" width="2.33203125" style="1" customWidth="1"/>
    <col min="10775" max="10775" width="15.5" style="1" customWidth="1"/>
    <col min="10776" max="10776" width="8.5" style="1" customWidth="1"/>
    <col min="10777" max="10777" width="15" style="1" customWidth="1"/>
    <col min="10778" max="10782" width="8.83203125" style="1"/>
    <col min="10783" max="10783" width="17.1640625" style="1" customWidth="1"/>
    <col min="10784" max="10784" width="16" style="1" customWidth="1"/>
    <col min="10785" max="10785" width="9.6640625" style="1" customWidth="1"/>
    <col min="10786" max="11008" width="8.83203125" style="1"/>
    <col min="11009" max="11009" width="2.5" style="1" customWidth="1"/>
    <col min="11010" max="11010" width="2.33203125" style="1" customWidth="1"/>
    <col min="11011" max="11011" width="17.6640625" style="1" customWidth="1"/>
    <col min="11012" max="11012" width="11.1640625" style="1" customWidth="1"/>
    <col min="11013" max="11013" width="9" style="1" customWidth="1"/>
    <col min="11014" max="11014" width="8.1640625" style="1" customWidth="1"/>
    <col min="11015" max="11015" width="8.33203125" style="1" customWidth="1"/>
    <col min="11016" max="11016" width="8" style="1" customWidth="1"/>
    <col min="11017" max="11017" width="8.5" style="1" customWidth="1"/>
    <col min="11018" max="11018" width="9" style="1" customWidth="1"/>
    <col min="11019" max="11019" width="8.33203125" style="1" customWidth="1"/>
    <col min="11020" max="11020" width="7.1640625" style="1" customWidth="1"/>
    <col min="11021" max="11021" width="7.83203125" style="1" customWidth="1"/>
    <col min="11022" max="11022" width="8.5" style="1" customWidth="1"/>
    <col min="11023" max="11023" width="9.1640625" style="1" customWidth="1"/>
    <col min="11024" max="11025" width="8.1640625" style="1" customWidth="1"/>
    <col min="11026" max="11027" width="8.5" style="1" customWidth="1"/>
    <col min="11028" max="11028" width="10.5" style="1" customWidth="1"/>
    <col min="11029" max="11029" width="8.83203125" style="1" customWidth="1"/>
    <col min="11030" max="11030" width="2.33203125" style="1" customWidth="1"/>
    <col min="11031" max="11031" width="15.5" style="1" customWidth="1"/>
    <col min="11032" max="11032" width="8.5" style="1" customWidth="1"/>
    <col min="11033" max="11033" width="15" style="1" customWidth="1"/>
    <col min="11034" max="11038" width="8.83203125" style="1"/>
    <col min="11039" max="11039" width="17.1640625" style="1" customWidth="1"/>
    <col min="11040" max="11040" width="16" style="1" customWidth="1"/>
    <col min="11041" max="11041" width="9.6640625" style="1" customWidth="1"/>
    <col min="11042" max="11264" width="8.83203125" style="1"/>
    <col min="11265" max="11265" width="2.5" style="1" customWidth="1"/>
    <col min="11266" max="11266" width="2.33203125" style="1" customWidth="1"/>
    <col min="11267" max="11267" width="17.6640625" style="1" customWidth="1"/>
    <col min="11268" max="11268" width="11.1640625" style="1" customWidth="1"/>
    <col min="11269" max="11269" width="9" style="1" customWidth="1"/>
    <col min="11270" max="11270" width="8.1640625" style="1" customWidth="1"/>
    <col min="11271" max="11271" width="8.33203125" style="1" customWidth="1"/>
    <col min="11272" max="11272" width="8" style="1" customWidth="1"/>
    <col min="11273" max="11273" width="8.5" style="1" customWidth="1"/>
    <col min="11274" max="11274" width="9" style="1" customWidth="1"/>
    <col min="11275" max="11275" width="8.33203125" style="1" customWidth="1"/>
    <col min="11276" max="11276" width="7.1640625" style="1" customWidth="1"/>
    <col min="11277" max="11277" width="7.83203125" style="1" customWidth="1"/>
    <col min="11278" max="11278" width="8.5" style="1" customWidth="1"/>
    <col min="11279" max="11279" width="9.1640625" style="1" customWidth="1"/>
    <col min="11280" max="11281" width="8.1640625" style="1" customWidth="1"/>
    <col min="11282" max="11283" width="8.5" style="1" customWidth="1"/>
    <col min="11284" max="11284" width="10.5" style="1" customWidth="1"/>
    <col min="11285" max="11285" width="8.83203125" style="1" customWidth="1"/>
    <col min="11286" max="11286" width="2.33203125" style="1" customWidth="1"/>
    <col min="11287" max="11287" width="15.5" style="1" customWidth="1"/>
    <col min="11288" max="11288" width="8.5" style="1" customWidth="1"/>
    <col min="11289" max="11289" width="15" style="1" customWidth="1"/>
    <col min="11290" max="11294" width="8.83203125" style="1"/>
    <col min="11295" max="11295" width="17.1640625" style="1" customWidth="1"/>
    <col min="11296" max="11296" width="16" style="1" customWidth="1"/>
    <col min="11297" max="11297" width="9.6640625" style="1" customWidth="1"/>
    <col min="11298" max="11520" width="8.83203125" style="1"/>
    <col min="11521" max="11521" width="2.5" style="1" customWidth="1"/>
    <col min="11522" max="11522" width="2.33203125" style="1" customWidth="1"/>
    <col min="11523" max="11523" width="17.6640625" style="1" customWidth="1"/>
    <col min="11524" max="11524" width="11.1640625" style="1" customWidth="1"/>
    <col min="11525" max="11525" width="9" style="1" customWidth="1"/>
    <col min="11526" max="11526" width="8.1640625" style="1" customWidth="1"/>
    <col min="11527" max="11527" width="8.33203125" style="1" customWidth="1"/>
    <col min="11528" max="11528" width="8" style="1" customWidth="1"/>
    <col min="11529" max="11529" width="8.5" style="1" customWidth="1"/>
    <col min="11530" max="11530" width="9" style="1" customWidth="1"/>
    <col min="11531" max="11531" width="8.33203125" style="1" customWidth="1"/>
    <col min="11532" max="11532" width="7.1640625" style="1" customWidth="1"/>
    <col min="11533" max="11533" width="7.83203125" style="1" customWidth="1"/>
    <col min="11534" max="11534" width="8.5" style="1" customWidth="1"/>
    <col min="11535" max="11535" width="9.1640625" style="1" customWidth="1"/>
    <col min="11536" max="11537" width="8.1640625" style="1" customWidth="1"/>
    <col min="11538" max="11539" width="8.5" style="1" customWidth="1"/>
    <col min="11540" max="11540" width="10.5" style="1" customWidth="1"/>
    <col min="11541" max="11541" width="8.83203125" style="1" customWidth="1"/>
    <col min="11542" max="11542" width="2.33203125" style="1" customWidth="1"/>
    <col min="11543" max="11543" width="15.5" style="1" customWidth="1"/>
    <col min="11544" max="11544" width="8.5" style="1" customWidth="1"/>
    <col min="11545" max="11545" width="15" style="1" customWidth="1"/>
    <col min="11546" max="11550" width="8.83203125" style="1"/>
    <col min="11551" max="11551" width="17.1640625" style="1" customWidth="1"/>
    <col min="11552" max="11552" width="16" style="1" customWidth="1"/>
    <col min="11553" max="11553" width="9.6640625" style="1" customWidth="1"/>
    <col min="11554" max="11776" width="8.83203125" style="1"/>
    <col min="11777" max="11777" width="2.5" style="1" customWidth="1"/>
    <col min="11778" max="11778" width="2.33203125" style="1" customWidth="1"/>
    <col min="11779" max="11779" width="17.6640625" style="1" customWidth="1"/>
    <col min="11780" max="11780" width="11.1640625" style="1" customWidth="1"/>
    <col min="11781" max="11781" width="9" style="1" customWidth="1"/>
    <col min="11782" max="11782" width="8.1640625" style="1" customWidth="1"/>
    <col min="11783" max="11783" width="8.33203125" style="1" customWidth="1"/>
    <col min="11784" max="11784" width="8" style="1" customWidth="1"/>
    <col min="11785" max="11785" width="8.5" style="1" customWidth="1"/>
    <col min="11786" max="11786" width="9" style="1" customWidth="1"/>
    <col min="11787" max="11787" width="8.33203125" style="1" customWidth="1"/>
    <col min="11788" max="11788" width="7.1640625" style="1" customWidth="1"/>
    <col min="11789" max="11789" width="7.83203125" style="1" customWidth="1"/>
    <col min="11790" max="11790" width="8.5" style="1" customWidth="1"/>
    <col min="11791" max="11791" width="9.1640625" style="1" customWidth="1"/>
    <col min="11792" max="11793" width="8.1640625" style="1" customWidth="1"/>
    <col min="11794" max="11795" width="8.5" style="1" customWidth="1"/>
    <col min="11796" max="11796" width="10.5" style="1" customWidth="1"/>
    <col min="11797" max="11797" width="8.83203125" style="1" customWidth="1"/>
    <col min="11798" max="11798" width="2.33203125" style="1" customWidth="1"/>
    <col min="11799" max="11799" width="15.5" style="1" customWidth="1"/>
    <col min="11800" max="11800" width="8.5" style="1" customWidth="1"/>
    <col min="11801" max="11801" width="15" style="1" customWidth="1"/>
    <col min="11802" max="11806" width="8.83203125" style="1"/>
    <col min="11807" max="11807" width="17.1640625" style="1" customWidth="1"/>
    <col min="11808" max="11808" width="16" style="1" customWidth="1"/>
    <col min="11809" max="11809" width="9.6640625" style="1" customWidth="1"/>
    <col min="11810" max="12032" width="8.83203125" style="1"/>
    <col min="12033" max="12033" width="2.5" style="1" customWidth="1"/>
    <col min="12034" max="12034" width="2.33203125" style="1" customWidth="1"/>
    <col min="12035" max="12035" width="17.6640625" style="1" customWidth="1"/>
    <col min="12036" max="12036" width="11.1640625" style="1" customWidth="1"/>
    <col min="12037" max="12037" width="9" style="1" customWidth="1"/>
    <col min="12038" max="12038" width="8.1640625" style="1" customWidth="1"/>
    <col min="12039" max="12039" width="8.33203125" style="1" customWidth="1"/>
    <col min="12040" max="12040" width="8" style="1" customWidth="1"/>
    <col min="12041" max="12041" width="8.5" style="1" customWidth="1"/>
    <col min="12042" max="12042" width="9" style="1" customWidth="1"/>
    <col min="12043" max="12043" width="8.33203125" style="1" customWidth="1"/>
    <col min="12044" max="12044" width="7.1640625" style="1" customWidth="1"/>
    <col min="12045" max="12045" width="7.83203125" style="1" customWidth="1"/>
    <col min="12046" max="12046" width="8.5" style="1" customWidth="1"/>
    <col min="12047" max="12047" width="9.1640625" style="1" customWidth="1"/>
    <col min="12048" max="12049" width="8.1640625" style="1" customWidth="1"/>
    <col min="12050" max="12051" width="8.5" style="1" customWidth="1"/>
    <col min="12052" max="12052" width="10.5" style="1" customWidth="1"/>
    <col min="12053" max="12053" width="8.83203125" style="1" customWidth="1"/>
    <col min="12054" max="12054" width="2.33203125" style="1" customWidth="1"/>
    <col min="12055" max="12055" width="15.5" style="1" customWidth="1"/>
    <col min="12056" max="12056" width="8.5" style="1" customWidth="1"/>
    <col min="12057" max="12057" width="15" style="1" customWidth="1"/>
    <col min="12058" max="12062" width="8.83203125" style="1"/>
    <col min="12063" max="12063" width="17.1640625" style="1" customWidth="1"/>
    <col min="12064" max="12064" width="16" style="1" customWidth="1"/>
    <col min="12065" max="12065" width="9.6640625" style="1" customWidth="1"/>
    <col min="12066" max="12288" width="8.83203125" style="1"/>
    <col min="12289" max="12289" width="2.5" style="1" customWidth="1"/>
    <col min="12290" max="12290" width="2.33203125" style="1" customWidth="1"/>
    <col min="12291" max="12291" width="17.6640625" style="1" customWidth="1"/>
    <col min="12292" max="12292" width="11.1640625" style="1" customWidth="1"/>
    <col min="12293" max="12293" width="9" style="1" customWidth="1"/>
    <col min="12294" max="12294" width="8.1640625" style="1" customWidth="1"/>
    <col min="12295" max="12295" width="8.33203125" style="1" customWidth="1"/>
    <col min="12296" max="12296" width="8" style="1" customWidth="1"/>
    <col min="12297" max="12297" width="8.5" style="1" customWidth="1"/>
    <col min="12298" max="12298" width="9" style="1" customWidth="1"/>
    <col min="12299" max="12299" width="8.33203125" style="1" customWidth="1"/>
    <col min="12300" max="12300" width="7.1640625" style="1" customWidth="1"/>
    <col min="12301" max="12301" width="7.83203125" style="1" customWidth="1"/>
    <col min="12302" max="12302" width="8.5" style="1" customWidth="1"/>
    <col min="12303" max="12303" width="9.1640625" style="1" customWidth="1"/>
    <col min="12304" max="12305" width="8.1640625" style="1" customWidth="1"/>
    <col min="12306" max="12307" width="8.5" style="1" customWidth="1"/>
    <col min="12308" max="12308" width="10.5" style="1" customWidth="1"/>
    <col min="12309" max="12309" width="8.83203125" style="1" customWidth="1"/>
    <col min="12310" max="12310" width="2.33203125" style="1" customWidth="1"/>
    <col min="12311" max="12311" width="15.5" style="1" customWidth="1"/>
    <col min="12312" max="12312" width="8.5" style="1" customWidth="1"/>
    <col min="12313" max="12313" width="15" style="1" customWidth="1"/>
    <col min="12314" max="12318" width="8.83203125" style="1"/>
    <col min="12319" max="12319" width="17.1640625" style="1" customWidth="1"/>
    <col min="12320" max="12320" width="16" style="1" customWidth="1"/>
    <col min="12321" max="12321" width="9.6640625" style="1" customWidth="1"/>
    <col min="12322" max="12544" width="8.83203125" style="1"/>
    <col min="12545" max="12545" width="2.5" style="1" customWidth="1"/>
    <col min="12546" max="12546" width="2.33203125" style="1" customWidth="1"/>
    <col min="12547" max="12547" width="17.6640625" style="1" customWidth="1"/>
    <col min="12548" max="12548" width="11.1640625" style="1" customWidth="1"/>
    <col min="12549" max="12549" width="9" style="1" customWidth="1"/>
    <col min="12550" max="12550" width="8.1640625" style="1" customWidth="1"/>
    <col min="12551" max="12551" width="8.33203125" style="1" customWidth="1"/>
    <col min="12552" max="12552" width="8" style="1" customWidth="1"/>
    <col min="12553" max="12553" width="8.5" style="1" customWidth="1"/>
    <col min="12554" max="12554" width="9" style="1" customWidth="1"/>
    <col min="12555" max="12555" width="8.33203125" style="1" customWidth="1"/>
    <col min="12556" max="12556" width="7.1640625" style="1" customWidth="1"/>
    <col min="12557" max="12557" width="7.83203125" style="1" customWidth="1"/>
    <col min="12558" max="12558" width="8.5" style="1" customWidth="1"/>
    <col min="12559" max="12559" width="9.1640625" style="1" customWidth="1"/>
    <col min="12560" max="12561" width="8.1640625" style="1" customWidth="1"/>
    <col min="12562" max="12563" width="8.5" style="1" customWidth="1"/>
    <col min="12564" max="12564" width="10.5" style="1" customWidth="1"/>
    <col min="12565" max="12565" width="8.83203125" style="1" customWidth="1"/>
    <col min="12566" max="12566" width="2.33203125" style="1" customWidth="1"/>
    <col min="12567" max="12567" width="15.5" style="1" customWidth="1"/>
    <col min="12568" max="12568" width="8.5" style="1" customWidth="1"/>
    <col min="12569" max="12569" width="15" style="1" customWidth="1"/>
    <col min="12570" max="12574" width="8.83203125" style="1"/>
    <col min="12575" max="12575" width="17.1640625" style="1" customWidth="1"/>
    <col min="12576" max="12576" width="16" style="1" customWidth="1"/>
    <col min="12577" max="12577" width="9.6640625" style="1" customWidth="1"/>
    <col min="12578" max="12800" width="8.83203125" style="1"/>
    <col min="12801" max="12801" width="2.5" style="1" customWidth="1"/>
    <col min="12802" max="12802" width="2.33203125" style="1" customWidth="1"/>
    <col min="12803" max="12803" width="17.6640625" style="1" customWidth="1"/>
    <col min="12804" max="12804" width="11.1640625" style="1" customWidth="1"/>
    <col min="12805" max="12805" width="9" style="1" customWidth="1"/>
    <col min="12806" max="12806" width="8.1640625" style="1" customWidth="1"/>
    <col min="12807" max="12807" width="8.33203125" style="1" customWidth="1"/>
    <col min="12808" max="12808" width="8" style="1" customWidth="1"/>
    <col min="12809" max="12809" width="8.5" style="1" customWidth="1"/>
    <col min="12810" max="12810" width="9" style="1" customWidth="1"/>
    <col min="12811" max="12811" width="8.33203125" style="1" customWidth="1"/>
    <col min="12812" max="12812" width="7.1640625" style="1" customWidth="1"/>
    <col min="12813" max="12813" width="7.83203125" style="1" customWidth="1"/>
    <col min="12814" max="12814" width="8.5" style="1" customWidth="1"/>
    <col min="12815" max="12815" width="9.1640625" style="1" customWidth="1"/>
    <col min="12816" max="12817" width="8.1640625" style="1" customWidth="1"/>
    <col min="12818" max="12819" width="8.5" style="1" customWidth="1"/>
    <col min="12820" max="12820" width="10.5" style="1" customWidth="1"/>
    <col min="12821" max="12821" width="8.83203125" style="1" customWidth="1"/>
    <col min="12822" max="12822" width="2.33203125" style="1" customWidth="1"/>
    <col min="12823" max="12823" width="15.5" style="1" customWidth="1"/>
    <col min="12824" max="12824" width="8.5" style="1" customWidth="1"/>
    <col min="12825" max="12825" width="15" style="1" customWidth="1"/>
    <col min="12826" max="12830" width="8.83203125" style="1"/>
    <col min="12831" max="12831" width="17.1640625" style="1" customWidth="1"/>
    <col min="12832" max="12832" width="16" style="1" customWidth="1"/>
    <col min="12833" max="12833" width="9.6640625" style="1" customWidth="1"/>
    <col min="12834" max="13056" width="8.83203125" style="1"/>
    <col min="13057" max="13057" width="2.5" style="1" customWidth="1"/>
    <col min="13058" max="13058" width="2.33203125" style="1" customWidth="1"/>
    <col min="13059" max="13059" width="17.6640625" style="1" customWidth="1"/>
    <col min="13060" max="13060" width="11.1640625" style="1" customWidth="1"/>
    <col min="13061" max="13061" width="9" style="1" customWidth="1"/>
    <col min="13062" max="13062" width="8.1640625" style="1" customWidth="1"/>
    <col min="13063" max="13063" width="8.33203125" style="1" customWidth="1"/>
    <col min="13064" max="13064" width="8" style="1" customWidth="1"/>
    <col min="13065" max="13065" width="8.5" style="1" customWidth="1"/>
    <col min="13066" max="13066" width="9" style="1" customWidth="1"/>
    <col min="13067" max="13067" width="8.33203125" style="1" customWidth="1"/>
    <col min="13068" max="13068" width="7.1640625" style="1" customWidth="1"/>
    <col min="13069" max="13069" width="7.83203125" style="1" customWidth="1"/>
    <col min="13070" max="13070" width="8.5" style="1" customWidth="1"/>
    <col min="13071" max="13071" width="9.1640625" style="1" customWidth="1"/>
    <col min="13072" max="13073" width="8.1640625" style="1" customWidth="1"/>
    <col min="13074" max="13075" width="8.5" style="1" customWidth="1"/>
    <col min="13076" max="13076" width="10.5" style="1" customWidth="1"/>
    <col min="13077" max="13077" width="8.83203125" style="1" customWidth="1"/>
    <col min="13078" max="13078" width="2.33203125" style="1" customWidth="1"/>
    <col min="13079" max="13079" width="15.5" style="1" customWidth="1"/>
    <col min="13080" max="13080" width="8.5" style="1" customWidth="1"/>
    <col min="13081" max="13081" width="15" style="1" customWidth="1"/>
    <col min="13082" max="13086" width="8.83203125" style="1"/>
    <col min="13087" max="13087" width="17.1640625" style="1" customWidth="1"/>
    <col min="13088" max="13088" width="16" style="1" customWidth="1"/>
    <col min="13089" max="13089" width="9.6640625" style="1" customWidth="1"/>
    <col min="13090" max="13312" width="8.83203125" style="1"/>
    <col min="13313" max="13313" width="2.5" style="1" customWidth="1"/>
    <col min="13314" max="13314" width="2.33203125" style="1" customWidth="1"/>
    <col min="13315" max="13315" width="17.6640625" style="1" customWidth="1"/>
    <col min="13316" max="13316" width="11.1640625" style="1" customWidth="1"/>
    <col min="13317" max="13317" width="9" style="1" customWidth="1"/>
    <col min="13318" max="13318" width="8.1640625" style="1" customWidth="1"/>
    <col min="13319" max="13319" width="8.33203125" style="1" customWidth="1"/>
    <col min="13320" max="13320" width="8" style="1" customWidth="1"/>
    <col min="13321" max="13321" width="8.5" style="1" customWidth="1"/>
    <col min="13322" max="13322" width="9" style="1" customWidth="1"/>
    <col min="13323" max="13323" width="8.33203125" style="1" customWidth="1"/>
    <col min="13324" max="13324" width="7.1640625" style="1" customWidth="1"/>
    <col min="13325" max="13325" width="7.83203125" style="1" customWidth="1"/>
    <col min="13326" max="13326" width="8.5" style="1" customWidth="1"/>
    <col min="13327" max="13327" width="9.1640625" style="1" customWidth="1"/>
    <col min="13328" max="13329" width="8.1640625" style="1" customWidth="1"/>
    <col min="13330" max="13331" width="8.5" style="1" customWidth="1"/>
    <col min="13332" max="13332" width="10.5" style="1" customWidth="1"/>
    <col min="13333" max="13333" width="8.83203125" style="1" customWidth="1"/>
    <col min="13334" max="13334" width="2.33203125" style="1" customWidth="1"/>
    <col min="13335" max="13335" width="15.5" style="1" customWidth="1"/>
    <col min="13336" max="13336" width="8.5" style="1" customWidth="1"/>
    <col min="13337" max="13337" width="15" style="1" customWidth="1"/>
    <col min="13338" max="13342" width="8.83203125" style="1"/>
    <col min="13343" max="13343" width="17.1640625" style="1" customWidth="1"/>
    <col min="13344" max="13344" width="16" style="1" customWidth="1"/>
    <col min="13345" max="13345" width="9.6640625" style="1" customWidth="1"/>
    <col min="13346" max="13568" width="8.83203125" style="1"/>
    <col min="13569" max="13569" width="2.5" style="1" customWidth="1"/>
    <col min="13570" max="13570" width="2.33203125" style="1" customWidth="1"/>
    <col min="13571" max="13571" width="17.6640625" style="1" customWidth="1"/>
    <col min="13572" max="13572" width="11.1640625" style="1" customWidth="1"/>
    <col min="13573" max="13573" width="9" style="1" customWidth="1"/>
    <col min="13574" max="13574" width="8.1640625" style="1" customWidth="1"/>
    <col min="13575" max="13575" width="8.33203125" style="1" customWidth="1"/>
    <col min="13576" max="13576" width="8" style="1" customWidth="1"/>
    <col min="13577" max="13577" width="8.5" style="1" customWidth="1"/>
    <col min="13578" max="13578" width="9" style="1" customWidth="1"/>
    <col min="13579" max="13579" width="8.33203125" style="1" customWidth="1"/>
    <col min="13580" max="13580" width="7.1640625" style="1" customWidth="1"/>
    <col min="13581" max="13581" width="7.83203125" style="1" customWidth="1"/>
    <col min="13582" max="13582" width="8.5" style="1" customWidth="1"/>
    <col min="13583" max="13583" width="9.1640625" style="1" customWidth="1"/>
    <col min="13584" max="13585" width="8.1640625" style="1" customWidth="1"/>
    <col min="13586" max="13587" width="8.5" style="1" customWidth="1"/>
    <col min="13588" max="13588" width="10.5" style="1" customWidth="1"/>
    <col min="13589" max="13589" width="8.83203125" style="1" customWidth="1"/>
    <col min="13590" max="13590" width="2.33203125" style="1" customWidth="1"/>
    <col min="13591" max="13591" width="15.5" style="1" customWidth="1"/>
    <col min="13592" max="13592" width="8.5" style="1" customWidth="1"/>
    <col min="13593" max="13593" width="15" style="1" customWidth="1"/>
    <col min="13594" max="13598" width="8.83203125" style="1"/>
    <col min="13599" max="13599" width="17.1640625" style="1" customWidth="1"/>
    <col min="13600" max="13600" width="16" style="1" customWidth="1"/>
    <col min="13601" max="13601" width="9.6640625" style="1" customWidth="1"/>
    <col min="13602" max="13824" width="8.83203125" style="1"/>
    <col min="13825" max="13825" width="2.5" style="1" customWidth="1"/>
    <col min="13826" max="13826" width="2.33203125" style="1" customWidth="1"/>
    <col min="13827" max="13827" width="17.6640625" style="1" customWidth="1"/>
    <col min="13828" max="13828" width="11.1640625" style="1" customWidth="1"/>
    <col min="13829" max="13829" width="9" style="1" customWidth="1"/>
    <col min="13830" max="13830" width="8.1640625" style="1" customWidth="1"/>
    <col min="13831" max="13831" width="8.33203125" style="1" customWidth="1"/>
    <col min="13832" max="13832" width="8" style="1" customWidth="1"/>
    <col min="13833" max="13833" width="8.5" style="1" customWidth="1"/>
    <col min="13834" max="13834" width="9" style="1" customWidth="1"/>
    <col min="13835" max="13835" width="8.33203125" style="1" customWidth="1"/>
    <col min="13836" max="13836" width="7.1640625" style="1" customWidth="1"/>
    <col min="13837" max="13837" width="7.83203125" style="1" customWidth="1"/>
    <col min="13838" max="13838" width="8.5" style="1" customWidth="1"/>
    <col min="13839" max="13839" width="9.1640625" style="1" customWidth="1"/>
    <col min="13840" max="13841" width="8.1640625" style="1" customWidth="1"/>
    <col min="13842" max="13843" width="8.5" style="1" customWidth="1"/>
    <col min="13844" max="13844" width="10.5" style="1" customWidth="1"/>
    <col min="13845" max="13845" width="8.83203125" style="1" customWidth="1"/>
    <col min="13846" max="13846" width="2.33203125" style="1" customWidth="1"/>
    <col min="13847" max="13847" width="15.5" style="1" customWidth="1"/>
    <col min="13848" max="13848" width="8.5" style="1" customWidth="1"/>
    <col min="13849" max="13849" width="15" style="1" customWidth="1"/>
    <col min="13850" max="13854" width="8.83203125" style="1"/>
    <col min="13855" max="13855" width="17.1640625" style="1" customWidth="1"/>
    <col min="13856" max="13856" width="16" style="1" customWidth="1"/>
    <col min="13857" max="13857" width="9.6640625" style="1" customWidth="1"/>
    <col min="13858" max="14080" width="8.83203125" style="1"/>
    <col min="14081" max="14081" width="2.5" style="1" customWidth="1"/>
    <col min="14082" max="14082" width="2.33203125" style="1" customWidth="1"/>
    <col min="14083" max="14083" width="17.6640625" style="1" customWidth="1"/>
    <col min="14084" max="14084" width="11.1640625" style="1" customWidth="1"/>
    <col min="14085" max="14085" width="9" style="1" customWidth="1"/>
    <col min="14086" max="14086" width="8.1640625" style="1" customWidth="1"/>
    <col min="14087" max="14087" width="8.33203125" style="1" customWidth="1"/>
    <col min="14088" max="14088" width="8" style="1" customWidth="1"/>
    <col min="14089" max="14089" width="8.5" style="1" customWidth="1"/>
    <col min="14090" max="14090" width="9" style="1" customWidth="1"/>
    <col min="14091" max="14091" width="8.33203125" style="1" customWidth="1"/>
    <col min="14092" max="14092" width="7.1640625" style="1" customWidth="1"/>
    <col min="14093" max="14093" width="7.83203125" style="1" customWidth="1"/>
    <col min="14094" max="14094" width="8.5" style="1" customWidth="1"/>
    <col min="14095" max="14095" width="9.1640625" style="1" customWidth="1"/>
    <col min="14096" max="14097" width="8.1640625" style="1" customWidth="1"/>
    <col min="14098" max="14099" width="8.5" style="1" customWidth="1"/>
    <col min="14100" max="14100" width="10.5" style="1" customWidth="1"/>
    <col min="14101" max="14101" width="8.83203125" style="1" customWidth="1"/>
    <col min="14102" max="14102" width="2.33203125" style="1" customWidth="1"/>
    <col min="14103" max="14103" width="15.5" style="1" customWidth="1"/>
    <col min="14104" max="14104" width="8.5" style="1" customWidth="1"/>
    <col min="14105" max="14105" width="15" style="1" customWidth="1"/>
    <col min="14106" max="14110" width="8.83203125" style="1"/>
    <col min="14111" max="14111" width="17.1640625" style="1" customWidth="1"/>
    <col min="14112" max="14112" width="16" style="1" customWidth="1"/>
    <col min="14113" max="14113" width="9.6640625" style="1" customWidth="1"/>
    <col min="14114" max="14336" width="8.83203125" style="1"/>
    <col min="14337" max="14337" width="2.5" style="1" customWidth="1"/>
    <col min="14338" max="14338" width="2.33203125" style="1" customWidth="1"/>
    <col min="14339" max="14339" width="17.6640625" style="1" customWidth="1"/>
    <col min="14340" max="14340" width="11.1640625" style="1" customWidth="1"/>
    <col min="14341" max="14341" width="9" style="1" customWidth="1"/>
    <col min="14342" max="14342" width="8.1640625" style="1" customWidth="1"/>
    <col min="14343" max="14343" width="8.33203125" style="1" customWidth="1"/>
    <col min="14344" max="14344" width="8" style="1" customWidth="1"/>
    <col min="14345" max="14345" width="8.5" style="1" customWidth="1"/>
    <col min="14346" max="14346" width="9" style="1" customWidth="1"/>
    <col min="14347" max="14347" width="8.33203125" style="1" customWidth="1"/>
    <col min="14348" max="14348" width="7.1640625" style="1" customWidth="1"/>
    <col min="14349" max="14349" width="7.83203125" style="1" customWidth="1"/>
    <col min="14350" max="14350" width="8.5" style="1" customWidth="1"/>
    <col min="14351" max="14351" width="9.1640625" style="1" customWidth="1"/>
    <col min="14352" max="14353" width="8.1640625" style="1" customWidth="1"/>
    <col min="14354" max="14355" width="8.5" style="1" customWidth="1"/>
    <col min="14356" max="14356" width="10.5" style="1" customWidth="1"/>
    <col min="14357" max="14357" width="8.83203125" style="1" customWidth="1"/>
    <col min="14358" max="14358" width="2.33203125" style="1" customWidth="1"/>
    <col min="14359" max="14359" width="15.5" style="1" customWidth="1"/>
    <col min="14360" max="14360" width="8.5" style="1" customWidth="1"/>
    <col min="14361" max="14361" width="15" style="1" customWidth="1"/>
    <col min="14362" max="14366" width="8.83203125" style="1"/>
    <col min="14367" max="14367" width="17.1640625" style="1" customWidth="1"/>
    <col min="14368" max="14368" width="16" style="1" customWidth="1"/>
    <col min="14369" max="14369" width="9.6640625" style="1" customWidth="1"/>
    <col min="14370" max="14592" width="8.83203125" style="1"/>
    <col min="14593" max="14593" width="2.5" style="1" customWidth="1"/>
    <col min="14594" max="14594" width="2.33203125" style="1" customWidth="1"/>
    <col min="14595" max="14595" width="17.6640625" style="1" customWidth="1"/>
    <col min="14596" max="14596" width="11.1640625" style="1" customWidth="1"/>
    <col min="14597" max="14597" width="9" style="1" customWidth="1"/>
    <col min="14598" max="14598" width="8.1640625" style="1" customWidth="1"/>
    <col min="14599" max="14599" width="8.33203125" style="1" customWidth="1"/>
    <col min="14600" max="14600" width="8" style="1" customWidth="1"/>
    <col min="14601" max="14601" width="8.5" style="1" customWidth="1"/>
    <col min="14602" max="14602" width="9" style="1" customWidth="1"/>
    <col min="14603" max="14603" width="8.33203125" style="1" customWidth="1"/>
    <col min="14604" max="14604" width="7.1640625" style="1" customWidth="1"/>
    <col min="14605" max="14605" width="7.83203125" style="1" customWidth="1"/>
    <col min="14606" max="14606" width="8.5" style="1" customWidth="1"/>
    <col min="14607" max="14607" width="9.1640625" style="1" customWidth="1"/>
    <col min="14608" max="14609" width="8.1640625" style="1" customWidth="1"/>
    <col min="14610" max="14611" width="8.5" style="1" customWidth="1"/>
    <col min="14612" max="14612" width="10.5" style="1" customWidth="1"/>
    <col min="14613" max="14613" width="8.83203125" style="1" customWidth="1"/>
    <col min="14614" max="14614" width="2.33203125" style="1" customWidth="1"/>
    <col min="14615" max="14615" width="15.5" style="1" customWidth="1"/>
    <col min="14616" max="14616" width="8.5" style="1" customWidth="1"/>
    <col min="14617" max="14617" width="15" style="1" customWidth="1"/>
    <col min="14618" max="14622" width="8.83203125" style="1"/>
    <col min="14623" max="14623" width="17.1640625" style="1" customWidth="1"/>
    <col min="14624" max="14624" width="16" style="1" customWidth="1"/>
    <col min="14625" max="14625" width="9.6640625" style="1" customWidth="1"/>
    <col min="14626" max="14848" width="8.83203125" style="1"/>
    <col min="14849" max="14849" width="2.5" style="1" customWidth="1"/>
    <col min="14850" max="14850" width="2.33203125" style="1" customWidth="1"/>
    <col min="14851" max="14851" width="17.6640625" style="1" customWidth="1"/>
    <col min="14852" max="14852" width="11.1640625" style="1" customWidth="1"/>
    <col min="14853" max="14853" width="9" style="1" customWidth="1"/>
    <col min="14854" max="14854" width="8.1640625" style="1" customWidth="1"/>
    <col min="14855" max="14855" width="8.33203125" style="1" customWidth="1"/>
    <col min="14856" max="14856" width="8" style="1" customWidth="1"/>
    <col min="14857" max="14857" width="8.5" style="1" customWidth="1"/>
    <col min="14858" max="14858" width="9" style="1" customWidth="1"/>
    <col min="14859" max="14859" width="8.33203125" style="1" customWidth="1"/>
    <col min="14860" max="14860" width="7.1640625" style="1" customWidth="1"/>
    <col min="14861" max="14861" width="7.83203125" style="1" customWidth="1"/>
    <col min="14862" max="14862" width="8.5" style="1" customWidth="1"/>
    <col min="14863" max="14863" width="9.1640625" style="1" customWidth="1"/>
    <col min="14864" max="14865" width="8.1640625" style="1" customWidth="1"/>
    <col min="14866" max="14867" width="8.5" style="1" customWidth="1"/>
    <col min="14868" max="14868" width="10.5" style="1" customWidth="1"/>
    <col min="14869" max="14869" width="8.83203125" style="1" customWidth="1"/>
    <col min="14870" max="14870" width="2.33203125" style="1" customWidth="1"/>
    <col min="14871" max="14871" width="15.5" style="1" customWidth="1"/>
    <col min="14872" max="14872" width="8.5" style="1" customWidth="1"/>
    <col min="14873" max="14873" width="15" style="1" customWidth="1"/>
    <col min="14874" max="14878" width="8.83203125" style="1"/>
    <col min="14879" max="14879" width="17.1640625" style="1" customWidth="1"/>
    <col min="14880" max="14880" width="16" style="1" customWidth="1"/>
    <col min="14881" max="14881" width="9.6640625" style="1" customWidth="1"/>
    <col min="14882" max="15104" width="8.83203125" style="1"/>
    <col min="15105" max="15105" width="2.5" style="1" customWidth="1"/>
    <col min="15106" max="15106" width="2.33203125" style="1" customWidth="1"/>
    <col min="15107" max="15107" width="17.6640625" style="1" customWidth="1"/>
    <col min="15108" max="15108" width="11.1640625" style="1" customWidth="1"/>
    <col min="15109" max="15109" width="9" style="1" customWidth="1"/>
    <col min="15110" max="15110" width="8.1640625" style="1" customWidth="1"/>
    <col min="15111" max="15111" width="8.33203125" style="1" customWidth="1"/>
    <col min="15112" max="15112" width="8" style="1" customWidth="1"/>
    <col min="15113" max="15113" width="8.5" style="1" customWidth="1"/>
    <col min="15114" max="15114" width="9" style="1" customWidth="1"/>
    <col min="15115" max="15115" width="8.33203125" style="1" customWidth="1"/>
    <col min="15116" max="15116" width="7.1640625" style="1" customWidth="1"/>
    <col min="15117" max="15117" width="7.83203125" style="1" customWidth="1"/>
    <col min="15118" max="15118" width="8.5" style="1" customWidth="1"/>
    <col min="15119" max="15119" width="9.1640625" style="1" customWidth="1"/>
    <col min="15120" max="15121" width="8.1640625" style="1" customWidth="1"/>
    <col min="15122" max="15123" width="8.5" style="1" customWidth="1"/>
    <col min="15124" max="15124" width="10.5" style="1" customWidth="1"/>
    <col min="15125" max="15125" width="8.83203125" style="1" customWidth="1"/>
    <col min="15126" max="15126" width="2.33203125" style="1" customWidth="1"/>
    <col min="15127" max="15127" width="15.5" style="1" customWidth="1"/>
    <col min="15128" max="15128" width="8.5" style="1" customWidth="1"/>
    <col min="15129" max="15129" width="15" style="1" customWidth="1"/>
    <col min="15130" max="15134" width="8.83203125" style="1"/>
    <col min="15135" max="15135" width="17.1640625" style="1" customWidth="1"/>
    <col min="15136" max="15136" width="16" style="1" customWidth="1"/>
    <col min="15137" max="15137" width="9.6640625" style="1" customWidth="1"/>
    <col min="15138" max="15360" width="8.83203125" style="1"/>
    <col min="15361" max="15361" width="2.5" style="1" customWidth="1"/>
    <col min="15362" max="15362" width="2.33203125" style="1" customWidth="1"/>
    <col min="15363" max="15363" width="17.6640625" style="1" customWidth="1"/>
    <col min="15364" max="15364" width="11.1640625" style="1" customWidth="1"/>
    <col min="15365" max="15365" width="9" style="1" customWidth="1"/>
    <col min="15366" max="15366" width="8.1640625" style="1" customWidth="1"/>
    <col min="15367" max="15367" width="8.33203125" style="1" customWidth="1"/>
    <col min="15368" max="15368" width="8" style="1" customWidth="1"/>
    <col min="15369" max="15369" width="8.5" style="1" customWidth="1"/>
    <col min="15370" max="15370" width="9" style="1" customWidth="1"/>
    <col min="15371" max="15371" width="8.33203125" style="1" customWidth="1"/>
    <col min="15372" max="15372" width="7.1640625" style="1" customWidth="1"/>
    <col min="15373" max="15373" width="7.83203125" style="1" customWidth="1"/>
    <col min="15374" max="15374" width="8.5" style="1" customWidth="1"/>
    <col min="15375" max="15375" width="9.1640625" style="1" customWidth="1"/>
    <col min="15376" max="15377" width="8.1640625" style="1" customWidth="1"/>
    <col min="15378" max="15379" width="8.5" style="1" customWidth="1"/>
    <col min="15380" max="15380" width="10.5" style="1" customWidth="1"/>
    <col min="15381" max="15381" width="8.83203125" style="1" customWidth="1"/>
    <col min="15382" max="15382" width="2.33203125" style="1" customWidth="1"/>
    <col min="15383" max="15383" width="15.5" style="1" customWidth="1"/>
    <col min="15384" max="15384" width="8.5" style="1" customWidth="1"/>
    <col min="15385" max="15385" width="15" style="1" customWidth="1"/>
    <col min="15386" max="15390" width="8.83203125" style="1"/>
    <col min="15391" max="15391" width="17.1640625" style="1" customWidth="1"/>
    <col min="15392" max="15392" width="16" style="1" customWidth="1"/>
    <col min="15393" max="15393" width="9.6640625" style="1" customWidth="1"/>
    <col min="15394" max="15616" width="8.83203125" style="1"/>
    <col min="15617" max="15617" width="2.5" style="1" customWidth="1"/>
    <col min="15618" max="15618" width="2.33203125" style="1" customWidth="1"/>
    <col min="15619" max="15619" width="17.6640625" style="1" customWidth="1"/>
    <col min="15620" max="15620" width="11.1640625" style="1" customWidth="1"/>
    <col min="15621" max="15621" width="9" style="1" customWidth="1"/>
    <col min="15622" max="15622" width="8.1640625" style="1" customWidth="1"/>
    <col min="15623" max="15623" width="8.33203125" style="1" customWidth="1"/>
    <col min="15624" max="15624" width="8" style="1" customWidth="1"/>
    <col min="15625" max="15625" width="8.5" style="1" customWidth="1"/>
    <col min="15626" max="15626" width="9" style="1" customWidth="1"/>
    <col min="15627" max="15627" width="8.33203125" style="1" customWidth="1"/>
    <col min="15628" max="15628" width="7.1640625" style="1" customWidth="1"/>
    <col min="15629" max="15629" width="7.83203125" style="1" customWidth="1"/>
    <col min="15630" max="15630" width="8.5" style="1" customWidth="1"/>
    <col min="15631" max="15631" width="9.1640625" style="1" customWidth="1"/>
    <col min="15632" max="15633" width="8.1640625" style="1" customWidth="1"/>
    <col min="15634" max="15635" width="8.5" style="1" customWidth="1"/>
    <col min="15636" max="15636" width="10.5" style="1" customWidth="1"/>
    <col min="15637" max="15637" width="8.83203125" style="1" customWidth="1"/>
    <col min="15638" max="15638" width="2.33203125" style="1" customWidth="1"/>
    <col min="15639" max="15639" width="15.5" style="1" customWidth="1"/>
    <col min="15640" max="15640" width="8.5" style="1" customWidth="1"/>
    <col min="15641" max="15641" width="15" style="1" customWidth="1"/>
    <col min="15642" max="15646" width="8.83203125" style="1"/>
    <col min="15647" max="15647" width="17.1640625" style="1" customWidth="1"/>
    <col min="15648" max="15648" width="16" style="1" customWidth="1"/>
    <col min="15649" max="15649" width="9.6640625" style="1" customWidth="1"/>
    <col min="15650" max="15872" width="8.83203125" style="1"/>
    <col min="15873" max="15873" width="2.5" style="1" customWidth="1"/>
    <col min="15874" max="15874" width="2.33203125" style="1" customWidth="1"/>
    <col min="15875" max="15875" width="17.6640625" style="1" customWidth="1"/>
    <col min="15876" max="15876" width="11.1640625" style="1" customWidth="1"/>
    <col min="15877" max="15877" width="9" style="1" customWidth="1"/>
    <col min="15878" max="15878" width="8.1640625" style="1" customWidth="1"/>
    <col min="15879" max="15879" width="8.33203125" style="1" customWidth="1"/>
    <col min="15880" max="15880" width="8" style="1" customWidth="1"/>
    <col min="15881" max="15881" width="8.5" style="1" customWidth="1"/>
    <col min="15882" max="15882" width="9" style="1" customWidth="1"/>
    <col min="15883" max="15883" width="8.33203125" style="1" customWidth="1"/>
    <col min="15884" max="15884" width="7.1640625" style="1" customWidth="1"/>
    <col min="15885" max="15885" width="7.83203125" style="1" customWidth="1"/>
    <col min="15886" max="15886" width="8.5" style="1" customWidth="1"/>
    <col min="15887" max="15887" width="9.1640625" style="1" customWidth="1"/>
    <col min="15888" max="15889" width="8.1640625" style="1" customWidth="1"/>
    <col min="15890" max="15891" width="8.5" style="1" customWidth="1"/>
    <col min="15892" max="15892" width="10.5" style="1" customWidth="1"/>
    <col min="15893" max="15893" width="8.83203125" style="1" customWidth="1"/>
    <col min="15894" max="15894" width="2.33203125" style="1" customWidth="1"/>
    <col min="15895" max="15895" width="15.5" style="1" customWidth="1"/>
    <col min="15896" max="15896" width="8.5" style="1" customWidth="1"/>
    <col min="15897" max="15897" width="15" style="1" customWidth="1"/>
    <col min="15898" max="15902" width="8.83203125" style="1"/>
    <col min="15903" max="15903" width="17.1640625" style="1" customWidth="1"/>
    <col min="15904" max="15904" width="16" style="1" customWidth="1"/>
    <col min="15905" max="15905" width="9.6640625" style="1" customWidth="1"/>
    <col min="15906" max="16128" width="8.83203125" style="1"/>
    <col min="16129" max="16129" width="2.5" style="1" customWidth="1"/>
    <col min="16130" max="16130" width="2.33203125" style="1" customWidth="1"/>
    <col min="16131" max="16131" width="17.6640625" style="1" customWidth="1"/>
    <col min="16132" max="16132" width="11.1640625" style="1" customWidth="1"/>
    <col min="16133" max="16133" width="9" style="1" customWidth="1"/>
    <col min="16134" max="16134" width="8.1640625" style="1" customWidth="1"/>
    <col min="16135" max="16135" width="8.33203125" style="1" customWidth="1"/>
    <col min="16136" max="16136" width="8" style="1" customWidth="1"/>
    <col min="16137" max="16137" width="8.5" style="1" customWidth="1"/>
    <col min="16138" max="16138" width="9" style="1" customWidth="1"/>
    <col min="16139" max="16139" width="8.33203125" style="1" customWidth="1"/>
    <col min="16140" max="16140" width="7.1640625" style="1" customWidth="1"/>
    <col min="16141" max="16141" width="7.83203125" style="1" customWidth="1"/>
    <col min="16142" max="16142" width="8.5" style="1" customWidth="1"/>
    <col min="16143" max="16143" width="9.1640625" style="1" customWidth="1"/>
    <col min="16144" max="16145" width="8.1640625" style="1" customWidth="1"/>
    <col min="16146" max="16147" width="8.5" style="1" customWidth="1"/>
    <col min="16148" max="16148" width="10.5" style="1" customWidth="1"/>
    <col min="16149" max="16149" width="8.83203125" style="1" customWidth="1"/>
    <col min="16150" max="16150" width="2.33203125" style="1" customWidth="1"/>
    <col min="16151" max="16151" width="15.5" style="1" customWidth="1"/>
    <col min="16152" max="16152" width="8.5" style="1" customWidth="1"/>
    <col min="16153" max="16153" width="15" style="1" customWidth="1"/>
    <col min="16154" max="16158" width="8.83203125" style="1"/>
    <col min="16159" max="16159" width="17.1640625" style="1" customWidth="1"/>
    <col min="16160" max="16160" width="16" style="1" customWidth="1"/>
    <col min="16161" max="16161" width="9.6640625" style="1" customWidth="1"/>
    <col min="16162" max="16384" width="8.83203125" style="1"/>
  </cols>
  <sheetData>
    <row r="2" spans="1:27" ht="15" x14ac:dyDescent="0.15">
      <c r="C2" s="208"/>
      <c r="D2" s="209"/>
    </row>
    <row r="3" spans="1:27" ht="14" thickBot="1" x14ac:dyDescent="0.2">
      <c r="B3" s="184">
        <v>2.5</v>
      </c>
      <c r="C3" s="9">
        <v>26</v>
      </c>
      <c r="D3" s="9">
        <v>11</v>
      </c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4">
        <v>2.5</v>
      </c>
      <c r="W3" s="9"/>
      <c r="X3" s="9"/>
      <c r="Y3" s="184"/>
    </row>
    <row r="4" spans="1:27" ht="11.5" customHeight="1" x14ac:dyDescent="0.15">
      <c r="B4" s="69"/>
      <c r="C4" s="79"/>
      <c r="D4" s="80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2"/>
    </row>
    <row r="5" spans="1:27" ht="11.5" customHeight="1" x14ac:dyDescent="0.15">
      <c r="B5" s="72"/>
      <c r="C5" s="83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254" t="s">
        <v>462</v>
      </c>
      <c r="V5" s="75"/>
    </row>
    <row r="6" spans="1:27" ht="11.5" customHeight="1" x14ac:dyDescent="0.15">
      <c r="B6" s="72"/>
      <c r="C6" s="83"/>
      <c r="D6" s="85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75"/>
    </row>
    <row r="7" spans="1:27" ht="11.5" customHeight="1" x14ac:dyDescent="0.15">
      <c r="B7" s="72"/>
      <c r="C7" s="83"/>
      <c r="D7" s="77" t="s">
        <v>458</v>
      </c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229"/>
      <c r="U7" s="87"/>
      <c r="V7" s="75"/>
    </row>
    <row r="8" spans="1:27" ht="11.5" customHeight="1" x14ac:dyDescent="0.15">
      <c r="A8" s="2"/>
      <c r="B8" s="72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75"/>
      <c r="X8" s="1" t="s">
        <v>562</v>
      </c>
    </row>
    <row r="9" spans="1:27" ht="14" customHeight="1" thickBot="1" x14ac:dyDescent="0.2">
      <c r="B9" s="2"/>
      <c r="C9" s="12" t="s">
        <v>398</v>
      </c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3" t="s">
        <v>391</v>
      </c>
      <c r="V9" s="22"/>
      <c r="X9" s="1">
        <v>2063.64</v>
      </c>
    </row>
    <row r="10" spans="1:27" ht="13" customHeight="1" thickBot="1" x14ac:dyDescent="0.2">
      <c r="B10" s="2"/>
      <c r="C10" s="482" t="s">
        <v>13</v>
      </c>
      <c r="D10" s="482" t="s">
        <v>68</v>
      </c>
      <c r="E10" s="482" t="s">
        <v>363</v>
      </c>
      <c r="F10" s="482" t="s">
        <v>374</v>
      </c>
      <c r="G10" s="482" t="s">
        <v>0</v>
      </c>
      <c r="H10" s="484" t="s">
        <v>7</v>
      </c>
      <c r="I10" s="484"/>
      <c r="J10" s="484"/>
      <c r="K10" s="484"/>
      <c r="L10" s="484"/>
      <c r="M10" s="484"/>
      <c r="N10" s="484"/>
      <c r="O10" s="482" t="s">
        <v>66</v>
      </c>
      <c r="P10" s="482" t="s">
        <v>40</v>
      </c>
      <c r="Q10" s="482" t="s">
        <v>360</v>
      </c>
      <c r="R10" s="482" t="s">
        <v>361</v>
      </c>
      <c r="S10" s="482" t="s">
        <v>362</v>
      </c>
      <c r="T10" s="482" t="s">
        <v>44</v>
      </c>
      <c r="U10" s="482" t="s">
        <v>46</v>
      </c>
      <c r="V10" s="22"/>
    </row>
    <row r="11" spans="1:27" ht="33" customHeight="1" thickBot="1" x14ac:dyDescent="0.2">
      <c r="B11" s="2"/>
      <c r="C11" s="483"/>
      <c r="D11" s="483"/>
      <c r="E11" s="483"/>
      <c r="F11" s="483"/>
      <c r="G11" s="483"/>
      <c r="H11" s="214" t="s">
        <v>393</v>
      </c>
      <c r="I11" s="214" t="s">
        <v>2</v>
      </c>
      <c r="J11" s="214" t="s">
        <v>3</v>
      </c>
      <c r="K11" s="214" t="s">
        <v>4</v>
      </c>
      <c r="L11" s="214" t="s">
        <v>5</v>
      </c>
      <c r="M11" s="214" t="s">
        <v>394</v>
      </c>
      <c r="N11" s="214" t="s">
        <v>6</v>
      </c>
      <c r="O11" s="483"/>
      <c r="P11" s="483"/>
      <c r="Q11" s="483"/>
      <c r="R11" s="483"/>
      <c r="S11" s="483"/>
      <c r="T11" s="483"/>
      <c r="U11" s="483"/>
      <c r="V11" s="22"/>
      <c r="X11" s="1" t="s">
        <v>563</v>
      </c>
      <c r="Y11" s="1" t="s">
        <v>566</v>
      </c>
      <c r="Z11" s="1" t="s">
        <v>565</v>
      </c>
      <c r="AA11" s="1" t="s">
        <v>568</v>
      </c>
    </row>
    <row r="12" spans="1:27" ht="14" customHeight="1" x14ac:dyDescent="0.15">
      <c r="B12" s="2"/>
      <c r="C12" s="300" t="s">
        <v>380</v>
      </c>
      <c r="D12" s="304">
        <v>2252037</v>
      </c>
      <c r="E12" s="305">
        <v>3587.2526274499996</v>
      </c>
      <c r="F12" s="305">
        <v>17920.693400939999</v>
      </c>
      <c r="G12" s="305">
        <v>98202.33263450001</v>
      </c>
      <c r="H12" s="305">
        <v>3536.2534689700001</v>
      </c>
      <c r="I12" s="305">
        <v>855.44894376000002</v>
      </c>
      <c r="J12" s="305">
        <v>236.7075792</v>
      </c>
      <c r="K12" s="305">
        <v>3153.3084104499999</v>
      </c>
      <c r="L12" s="305">
        <v>198.63662688999997</v>
      </c>
      <c r="M12" s="305">
        <v>1057.8549452899999</v>
      </c>
      <c r="N12" s="305">
        <v>119.88565453999763</v>
      </c>
      <c r="O12" s="305">
        <v>862.30833804999997</v>
      </c>
      <c r="P12" s="305">
        <v>47.914817850000006</v>
      </c>
      <c r="Q12" s="305">
        <v>300.77586403999999</v>
      </c>
      <c r="R12" s="305">
        <v>5.0662607200000007</v>
      </c>
      <c r="S12" s="305">
        <v>258.65823390000003</v>
      </c>
      <c r="T12" s="305">
        <v>605466.88229815988</v>
      </c>
      <c r="U12" s="305">
        <v>75876.342607470011</v>
      </c>
      <c r="V12" s="88">
        <v>0</v>
      </c>
      <c r="X12" s="1">
        <f>I12*1000000/$X$9</f>
        <v>414534</v>
      </c>
      <c r="Y12" s="1">
        <v>0.24952015436023062</v>
      </c>
      <c r="Z12" s="1">
        <f>X12*Y12</f>
        <v>103434.58766756384</v>
      </c>
      <c r="AA12" s="1">
        <f>(D12-Z12)/D12</f>
        <v>0.95407065351609943</v>
      </c>
    </row>
    <row r="13" spans="1:27" ht="14" customHeight="1" x14ac:dyDescent="0.15">
      <c r="B13" s="2"/>
      <c r="C13" s="300" t="s">
        <v>381</v>
      </c>
      <c r="D13" s="306">
        <v>1203052</v>
      </c>
      <c r="E13" s="307">
        <v>10574.26991345</v>
      </c>
      <c r="F13" s="307">
        <v>4047.2265499799996</v>
      </c>
      <c r="G13" s="307">
        <v>43816.90373251</v>
      </c>
      <c r="H13" s="307">
        <v>300.55455081999997</v>
      </c>
      <c r="I13" s="307">
        <v>324.25149863999997</v>
      </c>
      <c r="J13" s="307">
        <v>91.128768370000003</v>
      </c>
      <c r="K13" s="307">
        <v>469.66667149</v>
      </c>
      <c r="L13" s="307">
        <v>106.07680845</v>
      </c>
      <c r="M13" s="307">
        <v>116.48515309</v>
      </c>
      <c r="N13" s="307">
        <v>1300.57018651</v>
      </c>
      <c r="O13" s="307">
        <v>7865.5627007400008</v>
      </c>
      <c r="P13" s="307">
        <v>10.563555260000001</v>
      </c>
      <c r="Q13" s="307">
        <v>79.159643590000002</v>
      </c>
      <c r="R13" s="307">
        <v>0.90677558999999996</v>
      </c>
      <c r="S13" s="307">
        <v>69.885165860000001</v>
      </c>
      <c r="T13" s="307">
        <v>196634.97994016</v>
      </c>
      <c r="U13" s="307">
        <v>16078.122141939999</v>
      </c>
      <c r="V13" s="88">
        <v>1</v>
      </c>
      <c r="X13" s="1">
        <f t="shared" ref="X13:X23" si="0">I13*1000000/$X$9</f>
        <v>157126</v>
      </c>
      <c r="Y13" s="1">
        <v>0.30259496985855078</v>
      </c>
      <c r="Z13" s="1">
        <f t="shared" ref="Z13:Z22" si="1">X13*Y13</f>
        <v>47545.537233994648</v>
      </c>
      <c r="AA13" s="1">
        <f t="shared" ref="AA13:AA23" si="2">(D13-Z13)/D13</f>
        <v>0.96047923345458508</v>
      </c>
    </row>
    <row r="14" spans="1:27" ht="14" customHeight="1" x14ac:dyDescent="0.15">
      <c r="B14" s="2"/>
      <c r="C14" s="300" t="s">
        <v>382</v>
      </c>
      <c r="D14" s="306">
        <v>2669376</v>
      </c>
      <c r="E14" s="307">
        <v>46938.675548369996</v>
      </c>
      <c r="F14" s="307">
        <v>8512.412091189999</v>
      </c>
      <c r="G14" s="307">
        <v>57941.737030889999</v>
      </c>
      <c r="H14" s="307">
        <v>1310.2715545399999</v>
      </c>
      <c r="I14" s="307">
        <v>1736.2600231199999</v>
      </c>
      <c r="J14" s="307">
        <v>538.05026258999999</v>
      </c>
      <c r="K14" s="307">
        <v>1725.66276481</v>
      </c>
      <c r="L14" s="307">
        <v>425.90752687000003</v>
      </c>
      <c r="M14" s="307">
        <v>549.98883735999993</v>
      </c>
      <c r="N14" s="307">
        <v>5671.0940794899998</v>
      </c>
      <c r="O14" s="307">
        <v>34981.58908541</v>
      </c>
      <c r="P14" s="307">
        <v>17.718441900000002</v>
      </c>
      <c r="Q14" s="307">
        <v>367.34686697000001</v>
      </c>
      <c r="R14" s="307">
        <v>2.0069925500000001</v>
      </c>
      <c r="S14" s="307">
        <v>353.82508901</v>
      </c>
      <c r="T14" s="307">
        <v>423181.79263123003</v>
      </c>
      <c r="U14" s="307">
        <v>26234.774186479997</v>
      </c>
      <c r="V14" s="88">
        <v>2</v>
      </c>
      <c r="X14" s="1">
        <f t="shared" si="0"/>
        <v>841358</v>
      </c>
      <c r="Y14" s="1">
        <v>0.31597051711526186</v>
      </c>
      <c r="Z14" s="1">
        <f t="shared" si="1"/>
        <v>265844.32233906246</v>
      </c>
      <c r="AA14" s="1">
        <f t="shared" si="2"/>
        <v>0.90040956300683661</v>
      </c>
    </row>
    <row r="15" spans="1:27" ht="14" customHeight="1" x14ac:dyDescent="0.15">
      <c r="B15" s="2"/>
      <c r="C15" s="300" t="s">
        <v>383</v>
      </c>
      <c r="D15" s="306">
        <v>8255187</v>
      </c>
      <c r="E15" s="307">
        <v>226992.43242771999</v>
      </c>
      <c r="F15" s="307">
        <v>21544.57504032</v>
      </c>
      <c r="G15" s="307">
        <v>82246.018566049999</v>
      </c>
      <c r="H15" s="307">
        <v>7610.0716836899992</v>
      </c>
      <c r="I15" s="307">
        <v>8442.7206315599997</v>
      </c>
      <c r="J15" s="307">
        <v>3754.9018540100001</v>
      </c>
      <c r="K15" s="307">
        <v>6901.2251215900005</v>
      </c>
      <c r="L15" s="307">
        <v>2403.8723885599998</v>
      </c>
      <c r="M15" s="307">
        <v>1691.2272673299999</v>
      </c>
      <c r="N15" s="307">
        <v>27493.137558920003</v>
      </c>
      <c r="O15" s="307">
        <v>168697.31884457002</v>
      </c>
      <c r="P15" s="307">
        <v>467.00967352000004</v>
      </c>
      <c r="Q15" s="307">
        <v>2194.0401360300002</v>
      </c>
      <c r="R15" s="307">
        <v>107.90135709999998</v>
      </c>
      <c r="S15" s="307">
        <v>1848.8591325999998</v>
      </c>
      <c r="T15" s="307">
        <v>754208.41273374006</v>
      </c>
      <c r="U15" s="307">
        <v>66462.897418970009</v>
      </c>
      <c r="V15" s="88">
        <v>3</v>
      </c>
      <c r="X15" s="1">
        <f t="shared" si="0"/>
        <v>4091179</v>
      </c>
      <c r="Y15" s="1">
        <v>0.36270081657721487</v>
      </c>
      <c r="Z15" s="1">
        <f t="shared" si="1"/>
        <v>1483873.9640635534</v>
      </c>
      <c r="AA15" s="1">
        <f t="shared" si="2"/>
        <v>0.82024950324401458</v>
      </c>
    </row>
    <row r="16" spans="1:27" ht="14" customHeight="1" x14ac:dyDescent="0.15">
      <c r="B16" s="2"/>
      <c r="C16" s="300" t="s">
        <v>384</v>
      </c>
      <c r="D16" s="306">
        <v>5884156</v>
      </c>
      <c r="E16" s="307">
        <v>253207.38452363003</v>
      </c>
      <c r="F16" s="307">
        <v>29688.885006229997</v>
      </c>
      <c r="G16" s="307">
        <v>87324.877870089986</v>
      </c>
      <c r="H16" s="307">
        <v>11190.147308880001</v>
      </c>
      <c r="I16" s="307">
        <v>8667.1786270800003</v>
      </c>
      <c r="J16" s="307">
        <v>5296.6711291499996</v>
      </c>
      <c r="K16" s="307">
        <v>10408.45288753</v>
      </c>
      <c r="L16" s="307">
        <v>2206.011352</v>
      </c>
      <c r="M16" s="307">
        <v>2207.4652006200004</v>
      </c>
      <c r="N16" s="307">
        <v>26924.006656940001</v>
      </c>
      <c r="O16" s="307">
        <v>186308.09904028999</v>
      </c>
      <c r="P16" s="307">
        <v>5969.72508225</v>
      </c>
      <c r="Q16" s="307">
        <v>8811.3088290699998</v>
      </c>
      <c r="R16" s="307">
        <v>1212.53890172</v>
      </c>
      <c r="S16" s="307">
        <v>4135.2131296499992</v>
      </c>
      <c r="T16" s="307">
        <v>755474.26866512001</v>
      </c>
      <c r="U16" s="307">
        <v>79038.550034629996</v>
      </c>
      <c r="V16" s="88">
        <v>4</v>
      </c>
      <c r="X16" s="1">
        <f t="shared" si="0"/>
        <v>4199947</v>
      </c>
      <c r="Y16" s="1">
        <v>0.37959055059648766</v>
      </c>
      <c r="Z16" s="1">
        <f t="shared" si="1"/>
        <v>1594260.1942060667</v>
      </c>
      <c r="AA16" s="1">
        <f t="shared" si="2"/>
        <v>0.72905881587672616</v>
      </c>
    </row>
    <row r="17" spans="2:33" ht="14" customHeight="1" x14ac:dyDescent="0.15">
      <c r="B17" s="2"/>
      <c r="C17" s="300" t="s">
        <v>385</v>
      </c>
      <c r="D17" s="306">
        <v>3893185</v>
      </c>
      <c r="E17" s="307">
        <v>288555.06757442001</v>
      </c>
      <c r="F17" s="307">
        <v>37095.005895540002</v>
      </c>
      <c r="G17" s="307">
        <v>94024.521236689994</v>
      </c>
      <c r="H17" s="307">
        <v>11706.878196039999</v>
      </c>
      <c r="I17" s="307">
        <v>5983.6872075600004</v>
      </c>
      <c r="J17" s="307">
        <v>5037.3161748800003</v>
      </c>
      <c r="K17" s="307">
        <v>11967.489106379999</v>
      </c>
      <c r="L17" s="307">
        <v>2441.23221629</v>
      </c>
      <c r="M17" s="307">
        <v>2872.6022112699998</v>
      </c>
      <c r="N17" s="307">
        <v>29941.644687660002</v>
      </c>
      <c r="O17" s="307">
        <v>218604.85866674999</v>
      </c>
      <c r="P17" s="307">
        <v>23588.155601799997</v>
      </c>
      <c r="Q17" s="307">
        <v>24926.22217288</v>
      </c>
      <c r="R17" s="307">
        <v>3940.8139141599995</v>
      </c>
      <c r="S17" s="307">
        <v>5522.5814684799998</v>
      </c>
      <c r="T17" s="307">
        <v>939826.07944737002</v>
      </c>
      <c r="U17" s="307">
        <v>91242.091439929995</v>
      </c>
      <c r="V17" s="88">
        <v>5</v>
      </c>
      <c r="X17" s="1">
        <f t="shared" si="0"/>
        <v>2899579.0000000005</v>
      </c>
      <c r="Y17" s="1">
        <v>0.38885036842730075</v>
      </c>
      <c r="Z17" s="1">
        <f t="shared" si="1"/>
        <v>1127502.3624340645</v>
      </c>
      <c r="AA17" s="1">
        <f t="shared" si="2"/>
        <v>0.71039075655688988</v>
      </c>
    </row>
    <row r="18" spans="2:33" ht="14" customHeight="1" x14ac:dyDescent="0.15">
      <c r="B18" s="2"/>
      <c r="C18" s="300" t="s">
        <v>386</v>
      </c>
      <c r="D18" s="306">
        <v>1613840</v>
      </c>
      <c r="E18" s="307">
        <v>223549.11250048003</v>
      </c>
      <c r="F18" s="307">
        <v>32796.324076960002</v>
      </c>
      <c r="G18" s="307">
        <v>67919.494899529993</v>
      </c>
      <c r="H18" s="307">
        <v>12876.32073852</v>
      </c>
      <c r="I18" s="307">
        <v>2937.3439031999997</v>
      </c>
      <c r="J18" s="307">
        <v>2685.7959978499998</v>
      </c>
      <c r="K18" s="307">
        <v>9367.2795327599997</v>
      </c>
      <c r="L18" s="307">
        <v>1980.8874781500001</v>
      </c>
      <c r="M18" s="307">
        <v>2490.3026372299996</v>
      </c>
      <c r="N18" s="307">
        <v>9017.1819530399989</v>
      </c>
      <c r="O18" s="307">
        <v>182194.44991610001</v>
      </c>
      <c r="P18" s="307">
        <v>34718.184359120001</v>
      </c>
      <c r="Q18" s="307">
        <v>33238.414647279998</v>
      </c>
      <c r="R18" s="307">
        <v>3912.3381598200003</v>
      </c>
      <c r="S18" s="307">
        <v>2680.7174475699999</v>
      </c>
      <c r="T18" s="307">
        <v>798818.97075685998</v>
      </c>
      <c r="U18" s="307">
        <v>70651.328094719996</v>
      </c>
      <c r="V18" s="88">
        <v>6</v>
      </c>
      <c r="X18" s="1">
        <f t="shared" si="0"/>
        <v>1423380</v>
      </c>
      <c r="Y18" s="1">
        <v>0.40338662979911244</v>
      </c>
      <c r="Z18" s="1">
        <f t="shared" si="1"/>
        <v>574172.46112346067</v>
      </c>
      <c r="AA18" s="1">
        <f t="shared" si="2"/>
        <v>0.64421971129513422</v>
      </c>
    </row>
    <row r="19" spans="2:33" ht="14" customHeight="1" x14ac:dyDescent="0.15">
      <c r="B19" s="2"/>
      <c r="C19" s="300" t="s">
        <v>387</v>
      </c>
      <c r="D19" s="306">
        <v>607180</v>
      </c>
      <c r="E19" s="307">
        <v>158131.33763883001</v>
      </c>
      <c r="F19" s="307">
        <v>26045.707147419998</v>
      </c>
      <c r="G19" s="307">
        <v>50930.372722780005</v>
      </c>
      <c r="H19" s="307">
        <v>11024.65756578</v>
      </c>
      <c r="I19" s="307">
        <v>1190.6893254000001</v>
      </c>
      <c r="J19" s="307">
        <v>1081.71814743</v>
      </c>
      <c r="K19" s="307">
        <v>5727.3350235200005</v>
      </c>
      <c r="L19" s="307">
        <v>2027.44397192</v>
      </c>
      <c r="M19" s="307">
        <v>1499.93876477</v>
      </c>
      <c r="N19" s="307">
        <v>1551.8008565599994</v>
      </c>
      <c r="O19" s="307">
        <v>134029.89276707001</v>
      </c>
      <c r="P19" s="307">
        <v>31058.39194034</v>
      </c>
      <c r="Q19" s="307">
        <v>29239.358922220003</v>
      </c>
      <c r="R19" s="307">
        <v>2883.2164719900002</v>
      </c>
      <c r="S19" s="307">
        <v>1278.3243402600001</v>
      </c>
      <c r="T19" s="307">
        <v>677991.36026787001</v>
      </c>
      <c r="U19" s="307">
        <v>47970.851530070002</v>
      </c>
      <c r="V19" s="88">
        <v>7</v>
      </c>
      <c r="X19" s="1">
        <f t="shared" si="0"/>
        <v>576985.00000000012</v>
      </c>
      <c r="Y19" s="1">
        <v>0.41391281040326483</v>
      </c>
      <c r="Z19" s="1">
        <f t="shared" si="1"/>
        <v>238821.48291052782</v>
      </c>
      <c r="AA19" s="1">
        <f t="shared" si="2"/>
        <v>0.60667103180189097</v>
      </c>
    </row>
    <row r="20" spans="2:33" ht="14" customHeight="1" x14ac:dyDescent="0.15">
      <c r="B20" s="2"/>
      <c r="C20" s="300" t="s">
        <v>388</v>
      </c>
      <c r="D20" s="306">
        <v>94830</v>
      </c>
      <c r="E20" s="307">
        <v>45796.855717369996</v>
      </c>
      <c r="F20" s="307">
        <v>12815.541569570001</v>
      </c>
      <c r="G20" s="307">
        <v>23175.412106609998</v>
      </c>
      <c r="H20" s="307">
        <v>2068.19106771</v>
      </c>
      <c r="I20" s="307">
        <v>199.58906987999998</v>
      </c>
      <c r="J20" s="307">
        <v>181.03205393000002</v>
      </c>
      <c r="K20" s="307">
        <v>995.82070290000001</v>
      </c>
      <c r="L20" s="307">
        <v>1304.3258772199999</v>
      </c>
      <c r="M20" s="307">
        <v>317.68240075999995</v>
      </c>
      <c r="N20" s="307">
        <v>288.73730298000009</v>
      </c>
      <c r="O20" s="307">
        <v>40441.477241989996</v>
      </c>
      <c r="P20" s="307">
        <v>10202.513176910001</v>
      </c>
      <c r="Q20" s="307">
        <v>8849.0983326900005</v>
      </c>
      <c r="R20" s="307">
        <v>1257.7039448600001</v>
      </c>
      <c r="S20" s="307">
        <v>214.02898106999999</v>
      </c>
      <c r="T20" s="307">
        <v>303253.68143992004</v>
      </c>
      <c r="U20" s="307">
        <v>18671.261575050001</v>
      </c>
      <c r="V20" s="88">
        <v>8</v>
      </c>
      <c r="X20" s="1">
        <f t="shared" si="0"/>
        <v>96717</v>
      </c>
      <c r="Y20" s="1">
        <v>0.41391281040326483</v>
      </c>
      <c r="Z20" s="1">
        <f t="shared" si="1"/>
        <v>40032.405283772561</v>
      </c>
      <c r="AA20" s="1">
        <f t="shared" si="2"/>
        <v>0.57785083534986226</v>
      </c>
    </row>
    <row r="21" spans="2:33" ht="14" customHeight="1" x14ac:dyDescent="0.15">
      <c r="B21" s="2"/>
      <c r="C21" s="300" t="s">
        <v>389</v>
      </c>
      <c r="D21" s="306">
        <v>15984</v>
      </c>
      <c r="E21" s="307">
        <v>15633.71306615</v>
      </c>
      <c r="F21" s="307">
        <v>7297.7271693300008</v>
      </c>
      <c r="G21" s="307">
        <v>12646.387605650001</v>
      </c>
      <c r="H21" s="307">
        <v>389.11484976999998</v>
      </c>
      <c r="I21" s="307">
        <v>34.885834200000005</v>
      </c>
      <c r="J21" s="307">
        <v>30.471682019999999</v>
      </c>
      <c r="K21" s="307">
        <v>200.90917243000001</v>
      </c>
      <c r="L21" s="307">
        <v>925.63860553999996</v>
      </c>
      <c r="M21" s="307">
        <v>77.707548069999987</v>
      </c>
      <c r="N21" s="307">
        <v>61.859479790000023</v>
      </c>
      <c r="O21" s="307">
        <v>13913.125894330002</v>
      </c>
      <c r="P21" s="307">
        <v>3665.0209331199999</v>
      </c>
      <c r="Q21" s="307">
        <v>3067.51181142</v>
      </c>
      <c r="R21" s="307">
        <v>500.31400317999999</v>
      </c>
      <c r="S21" s="307">
        <v>66.852631950000003</v>
      </c>
      <c r="T21" s="307">
        <v>165923.21225163</v>
      </c>
      <c r="U21" s="307">
        <v>7161.2049631199998</v>
      </c>
      <c r="V21" s="88">
        <v>9</v>
      </c>
      <c r="X21" s="1">
        <f t="shared" si="0"/>
        <v>16905.000000000004</v>
      </c>
      <c r="Y21" s="1">
        <v>0.41391281040326483</v>
      </c>
      <c r="Z21" s="1">
        <f t="shared" si="1"/>
        <v>6997.1960598671931</v>
      </c>
      <c r="AA21" s="1">
        <f t="shared" si="2"/>
        <v>0.56223748374204241</v>
      </c>
    </row>
    <row r="22" spans="2:33" ht="14" customHeight="1" thickBot="1" x14ac:dyDescent="0.2">
      <c r="B22" s="2"/>
      <c r="C22" s="301" t="s">
        <v>390</v>
      </c>
      <c r="D22" s="308">
        <v>5589</v>
      </c>
      <c r="E22" s="309">
        <v>20239.200155049999</v>
      </c>
      <c r="F22" s="309">
        <v>9597.3509154799995</v>
      </c>
      <c r="G22" s="309">
        <v>13943.20329508</v>
      </c>
      <c r="H22" s="309">
        <v>350.51730070000002</v>
      </c>
      <c r="I22" s="309">
        <v>13.075223039999999</v>
      </c>
      <c r="J22" s="309">
        <v>10.91104443</v>
      </c>
      <c r="K22" s="309">
        <v>102.54931555</v>
      </c>
      <c r="L22" s="309">
        <v>3070.37365434</v>
      </c>
      <c r="M22" s="309">
        <v>62.650945269999994</v>
      </c>
      <c r="N22" s="309">
        <v>15.850516709999738</v>
      </c>
      <c r="O22" s="309">
        <v>16613.27215501</v>
      </c>
      <c r="P22" s="309">
        <v>4487.1914423800008</v>
      </c>
      <c r="Q22" s="309">
        <v>3729.1478934199999</v>
      </c>
      <c r="R22" s="309">
        <v>740.27070506999996</v>
      </c>
      <c r="S22" s="309">
        <v>74.582878309999998</v>
      </c>
      <c r="T22" s="309">
        <v>204698.05860359999</v>
      </c>
      <c r="U22" s="309">
        <v>9511.0254850599995</v>
      </c>
      <c r="V22" s="88">
        <v>10</v>
      </c>
      <c r="X22" s="1">
        <f t="shared" si="0"/>
        <v>6336</v>
      </c>
      <c r="Y22" s="1">
        <v>0.41391281040326483</v>
      </c>
      <c r="Z22" s="1">
        <f t="shared" si="1"/>
        <v>2622.5515667150858</v>
      </c>
      <c r="AA22" s="1">
        <f t="shared" si="2"/>
        <v>0.53076550962335201</v>
      </c>
      <c r="AB22" s="118"/>
      <c r="AC22" s="118"/>
      <c r="AD22" s="218"/>
      <c r="AE22" s="119"/>
      <c r="AF22" s="119"/>
      <c r="AG22" s="219"/>
    </row>
    <row r="23" spans="2:33" ht="14" customHeight="1" thickBot="1" x14ac:dyDescent="0.2">
      <c r="B23" s="2"/>
      <c r="C23" s="226" t="s">
        <v>64</v>
      </c>
      <c r="D23" s="227">
        <v>26494416</v>
      </c>
      <c r="E23" s="227">
        <v>1293205.3016929203</v>
      </c>
      <c r="F23" s="227">
        <v>207361.44886296001</v>
      </c>
      <c r="G23" s="227">
        <v>632171.2617003799</v>
      </c>
      <c r="H23" s="227">
        <v>62362.978285419995</v>
      </c>
      <c r="I23" s="227">
        <v>30385.130287439995</v>
      </c>
      <c r="J23" s="227">
        <v>18944.704693860003</v>
      </c>
      <c r="K23" s="227">
        <v>51019.698709409997</v>
      </c>
      <c r="L23" s="227">
        <v>17090.40650623</v>
      </c>
      <c r="M23" s="227">
        <v>12943.905911059999</v>
      </c>
      <c r="N23" s="227">
        <v>102385.76893314</v>
      </c>
      <c r="O23" s="227">
        <v>1004511.9546503101</v>
      </c>
      <c r="P23" s="227">
        <v>114232.38902445001</v>
      </c>
      <c r="Q23" s="227">
        <v>114802.38511961</v>
      </c>
      <c r="R23" s="227">
        <v>14563.077486759999</v>
      </c>
      <c r="S23" s="227">
        <v>16503.528498659998</v>
      </c>
      <c r="T23" s="227">
        <v>5825477.6990356604</v>
      </c>
      <c r="U23" s="227">
        <v>508898.4494774401</v>
      </c>
      <c r="V23" s="22"/>
      <c r="X23" s="1">
        <f t="shared" si="0"/>
        <v>14724045.999999998</v>
      </c>
      <c r="Z23" s="1">
        <f>SUM(Z12:Z22)</f>
        <v>5485107.0648886487</v>
      </c>
      <c r="AA23" s="1">
        <f t="shared" si="2"/>
        <v>0.79297120325699388</v>
      </c>
    </row>
    <row r="24" spans="2:33" ht="15" customHeight="1" x14ac:dyDescent="0.15">
      <c r="B24" s="2"/>
      <c r="V24" s="22"/>
    </row>
    <row r="25" spans="2:33" ht="15" customHeight="1" x14ac:dyDescent="0.15">
      <c r="B25" s="228"/>
      <c r="V25" s="22"/>
    </row>
    <row r="26" spans="2:33" ht="15" customHeight="1" x14ac:dyDescent="0.15">
      <c r="B26" s="228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2"/>
    </row>
    <row r="27" spans="2:33" ht="15" customHeight="1" x14ac:dyDescent="0.15">
      <c r="B27" s="228"/>
      <c r="V27" s="22"/>
    </row>
    <row r="28" spans="2:33" ht="15" customHeight="1" x14ac:dyDescent="0.15">
      <c r="B28" s="228"/>
      <c r="V28" s="22"/>
    </row>
    <row r="29" spans="2:33" ht="15" customHeight="1" x14ac:dyDescent="0.15">
      <c r="B29" s="228"/>
      <c r="D29" s="78"/>
      <c r="E29" s="78"/>
      <c r="F29" s="78"/>
      <c r="G29" s="78"/>
      <c r="H29" s="78"/>
      <c r="J29" s="78"/>
      <c r="K29" s="78"/>
      <c r="M29" s="78"/>
      <c r="N29" s="78"/>
      <c r="O29" s="78"/>
      <c r="P29" s="78"/>
      <c r="Q29" s="78"/>
      <c r="R29" s="78"/>
      <c r="S29" s="78"/>
      <c r="T29" s="78"/>
      <c r="U29" s="78"/>
      <c r="V29" s="22"/>
      <c r="Z29" s="118"/>
    </row>
    <row r="30" spans="2:33" ht="15" customHeight="1" x14ac:dyDescent="0.15">
      <c r="B30" s="228"/>
      <c r="V30" s="22"/>
    </row>
    <row r="31" spans="2:33" ht="15" customHeight="1" x14ac:dyDescent="0.15">
      <c r="B31" s="228"/>
      <c r="V31" s="22"/>
    </row>
    <row r="32" spans="2:33" ht="15" customHeight="1" x14ac:dyDescent="0.15">
      <c r="B32" s="228"/>
      <c r="V32" s="22"/>
    </row>
    <row r="33" spans="1:22" ht="15" customHeight="1" x14ac:dyDescent="0.15">
      <c r="B33" s="228"/>
      <c r="V33" s="22"/>
    </row>
    <row r="34" spans="1:22" ht="15" customHeight="1" x14ac:dyDescent="0.15">
      <c r="B34" s="228"/>
      <c r="V34" s="22"/>
    </row>
    <row r="35" spans="1:22" ht="15" customHeight="1" x14ac:dyDescent="0.15">
      <c r="B35" s="228"/>
      <c r="V35" s="22"/>
    </row>
    <row r="36" spans="1:22" ht="15" customHeight="1" x14ac:dyDescent="0.15">
      <c r="B36" s="228"/>
      <c r="V36" s="22"/>
    </row>
    <row r="37" spans="1:22" ht="15" customHeight="1" x14ac:dyDescent="0.15">
      <c r="B37" s="228"/>
      <c r="V37" s="22"/>
    </row>
    <row r="38" spans="1:22" ht="15" customHeight="1" x14ac:dyDescent="0.15">
      <c r="B38" s="228"/>
      <c r="V38" s="22"/>
    </row>
    <row r="39" spans="1:22" ht="15" customHeight="1" x14ac:dyDescent="0.15">
      <c r="B39" s="228"/>
      <c r="V39" s="22"/>
    </row>
    <row r="40" spans="1:22" ht="15" customHeight="1" x14ac:dyDescent="0.15">
      <c r="B40" s="228"/>
      <c r="V40" s="22"/>
    </row>
    <row r="41" spans="1:22" ht="15" customHeight="1" x14ac:dyDescent="0.15">
      <c r="B41" s="228"/>
      <c r="C41" s="9"/>
      <c r="V41" s="22"/>
    </row>
    <row r="42" spans="1:22" ht="15" customHeight="1" x14ac:dyDescent="0.15">
      <c r="B42" s="228"/>
      <c r="V42" s="22"/>
    </row>
    <row r="43" spans="1:22" ht="15" customHeight="1" x14ac:dyDescent="0.15">
      <c r="B43" s="228"/>
      <c r="I43" s="1" t="s">
        <v>562</v>
      </c>
      <c r="V43" s="22"/>
    </row>
    <row r="44" spans="1:22" ht="15" customHeight="1" x14ac:dyDescent="0.15">
      <c r="B44" s="228"/>
      <c r="I44" s="68">
        <v>2063.64</v>
      </c>
      <c r="V44" s="22"/>
    </row>
    <row r="45" spans="1:22" ht="15" customHeight="1" thickBot="1" x14ac:dyDescent="0.2">
      <c r="B45" s="139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27"/>
    </row>
    <row r="47" spans="1:22" x14ac:dyDescent="0.15">
      <c r="A47" s="1" t="s">
        <v>575</v>
      </c>
      <c r="H47" s="1" t="s">
        <v>558</v>
      </c>
      <c r="J47" s="1" t="s">
        <v>559</v>
      </c>
      <c r="K47" s="1" t="s">
        <v>560</v>
      </c>
      <c r="M47" s="1" t="s">
        <v>561</v>
      </c>
    </row>
    <row r="48" spans="1:22" x14ac:dyDescent="0.15">
      <c r="A48" s="1">
        <f>(E59)/D73</f>
        <v>37914.10064106754</v>
      </c>
      <c r="C48" s="1">
        <v>0</v>
      </c>
      <c r="D48" s="78">
        <f>D12</f>
        <v>2252037</v>
      </c>
      <c r="E48" s="78">
        <f>((O12)*1000000)</f>
        <v>862308338.04999995</v>
      </c>
      <c r="J48" s="1">
        <f>D48/($A$51)</f>
        <v>1.630193165740261E-2</v>
      </c>
      <c r="K48" s="1">
        <f>J48+K49</f>
        <v>0.1917864399806905</v>
      </c>
      <c r="M48" s="474">
        <f>1-K48</f>
        <v>0.80821356001930944</v>
      </c>
    </row>
    <row r="49" spans="1:13" x14ac:dyDescent="0.15">
      <c r="C49" s="1">
        <v>4068</v>
      </c>
      <c r="D49" s="78">
        <f t="shared" ref="D49:D58" si="3">D13</f>
        <v>1203052</v>
      </c>
      <c r="E49" s="78">
        <f t="shared" ref="E49:E59" si="4">((O13)*1000000)</f>
        <v>7865562700.7400007</v>
      </c>
      <c r="H49" s="1">
        <f>(SUM(E49:$E$58)/SUM(D49:$D$58))/C49</f>
        <v>10.177144831439884</v>
      </c>
      <c r="J49" s="1">
        <f t="shared" ref="J49:J58" si="5">D49/($A$51)</f>
        <v>8.7085920365879994E-3</v>
      </c>
      <c r="K49" s="1">
        <f t="shared" ref="K49:K57" si="6">J49+K50</f>
        <v>0.17548450832328788</v>
      </c>
      <c r="M49" s="474">
        <f t="shared" ref="M49:M58" si="7">1-K49</f>
        <v>0.82451549167671212</v>
      </c>
    </row>
    <row r="50" spans="1:13" x14ac:dyDescent="0.15">
      <c r="A50" s="1" t="s">
        <v>581</v>
      </c>
      <c r="C50" s="1">
        <v>8136</v>
      </c>
      <c r="D50" s="78">
        <f t="shared" si="3"/>
        <v>2669376</v>
      </c>
      <c r="E50" s="78">
        <f t="shared" si="4"/>
        <v>34981589085.409996</v>
      </c>
      <c r="H50" s="1">
        <f>(SUM(E50:$E$58)/SUM(D50:$D$58))/C50</f>
        <v>5.3123227366934938</v>
      </c>
      <c r="J50" s="1">
        <f t="shared" si="5"/>
        <v>1.9322944125656352E-2</v>
      </c>
      <c r="K50" s="1">
        <f t="shared" si="6"/>
        <v>0.16677591628669988</v>
      </c>
      <c r="M50" s="474">
        <f t="shared" si="7"/>
        <v>0.83322408371330015</v>
      </c>
    </row>
    <row r="51" spans="1:13" x14ac:dyDescent="0.15">
      <c r="A51" s="473">
        <v>138145408</v>
      </c>
      <c r="C51" s="1">
        <v>16272</v>
      </c>
      <c r="D51" s="78">
        <f t="shared" si="3"/>
        <v>8255187</v>
      </c>
      <c r="E51" s="78">
        <f t="shared" si="4"/>
        <v>168697318844.57001</v>
      </c>
      <c r="H51" s="1">
        <f>(SUM(E51:$E$58)/SUM(D51:$D$58))/C51</f>
        <v>2.8986995431506419</v>
      </c>
      <c r="J51" s="1">
        <f t="shared" si="5"/>
        <v>5.9757230584168243E-2</v>
      </c>
      <c r="K51" s="1">
        <f t="shared" si="6"/>
        <v>0.14745297216104353</v>
      </c>
      <c r="M51" s="474">
        <f t="shared" si="7"/>
        <v>0.85254702783895642</v>
      </c>
    </row>
    <row r="52" spans="1:13" x14ac:dyDescent="0.15">
      <c r="A52" s="1" t="s">
        <v>582</v>
      </c>
      <c r="C52" s="1">
        <v>24408</v>
      </c>
      <c r="D52" s="78">
        <f t="shared" si="3"/>
        <v>5884156</v>
      </c>
      <c r="E52" s="78">
        <f t="shared" si="4"/>
        <v>186308099040.28998</v>
      </c>
      <c r="H52" s="1">
        <f>(SUM(E52:$E$58)/SUM(D52:$D$58))/C52</f>
        <v>2.6787716745504966</v>
      </c>
      <c r="J52" s="1">
        <f t="shared" si="5"/>
        <v>4.2593931171421927E-2</v>
      </c>
      <c r="K52" s="1">
        <f t="shared" si="6"/>
        <v>8.7695741576875291E-2</v>
      </c>
      <c r="M52" s="474">
        <f t="shared" si="7"/>
        <v>0.91230425842312468</v>
      </c>
    </row>
    <row r="53" spans="1:13" x14ac:dyDescent="0.15">
      <c r="A53" s="78">
        <v>3290130994460.5488</v>
      </c>
      <c r="C53" s="1">
        <v>40680</v>
      </c>
      <c r="D53" s="78">
        <f t="shared" si="3"/>
        <v>3893185</v>
      </c>
      <c r="E53" s="78">
        <f t="shared" si="4"/>
        <v>218604858666.75</v>
      </c>
      <c r="H53" s="1">
        <f>(SUM(E53:$E$58)/SUM(D53:$D$58))/C53</f>
        <v>2.3900985070938141</v>
      </c>
      <c r="J53" s="1">
        <f t="shared" si="5"/>
        <v>2.8181790885151971E-2</v>
      </c>
      <c r="K53" s="1">
        <f t="shared" si="6"/>
        <v>4.5101810405453358E-2</v>
      </c>
      <c r="M53" s="474">
        <f t="shared" si="7"/>
        <v>0.95489818959454664</v>
      </c>
    </row>
    <row r="54" spans="1:13" x14ac:dyDescent="0.15">
      <c r="A54" s="1" t="s">
        <v>583</v>
      </c>
      <c r="C54" s="1">
        <v>81360</v>
      </c>
      <c r="D54" s="78">
        <f t="shared" si="3"/>
        <v>1613840</v>
      </c>
      <c r="E54" s="78">
        <f t="shared" si="4"/>
        <v>182194449916.10001</v>
      </c>
      <c r="H54" s="1">
        <f>(SUM(E54:$E$58)/SUM(D54:$D$58))/C54</f>
        <v>2.0360027813893473</v>
      </c>
      <c r="J54" s="1">
        <f t="shared" si="5"/>
        <v>1.1682183457013641E-2</v>
      </c>
      <c r="K54" s="1">
        <f t="shared" si="6"/>
        <v>1.692001952030139E-2</v>
      </c>
      <c r="M54" s="474">
        <f t="shared" si="7"/>
        <v>0.98307998047969858</v>
      </c>
    </row>
    <row r="55" spans="1:13" x14ac:dyDescent="0.15">
      <c r="A55" s="1">
        <f>A53/(A51)</f>
        <v>23816.434017557418</v>
      </c>
      <c r="C55" s="1">
        <v>162720</v>
      </c>
      <c r="D55" s="78">
        <f t="shared" si="3"/>
        <v>607180</v>
      </c>
      <c r="E55" s="78">
        <f t="shared" si="4"/>
        <v>134029892767.07001</v>
      </c>
      <c r="H55" s="1">
        <f>(SUM(E55:$E$58)/SUM(D55:$D$58))/C55</f>
        <v>1.7410844716307439</v>
      </c>
      <c r="J55" s="1">
        <f t="shared" si="5"/>
        <v>4.3952239078406431E-3</v>
      </c>
      <c r="K55" s="1">
        <f t="shared" si="6"/>
        <v>5.2378360632877501E-3</v>
      </c>
      <c r="M55" s="474">
        <f t="shared" si="7"/>
        <v>0.99476216393671224</v>
      </c>
    </row>
    <row r="56" spans="1:13" x14ac:dyDescent="0.15">
      <c r="C56" s="1">
        <v>325440</v>
      </c>
      <c r="D56" s="78">
        <f t="shared" si="3"/>
        <v>94830</v>
      </c>
      <c r="E56" s="78">
        <f t="shared" si="4"/>
        <v>40441477241.989998</v>
      </c>
      <c r="H56" s="1">
        <f>(SUM(E56:$E$58)/SUM(D56:$D$58))/C56</f>
        <v>1.8733835331347055</v>
      </c>
      <c r="J56" s="1">
        <f t="shared" si="5"/>
        <v>6.8645061296572377E-4</v>
      </c>
      <c r="K56" s="1">
        <f t="shared" si="6"/>
        <v>8.4261215544710686E-4</v>
      </c>
      <c r="M56" s="474">
        <f t="shared" si="7"/>
        <v>0.99915738784455288</v>
      </c>
    </row>
    <row r="57" spans="1:13" x14ac:dyDescent="0.15">
      <c r="C57" s="1">
        <v>650880</v>
      </c>
      <c r="D57" s="78">
        <f t="shared" si="3"/>
        <v>15984</v>
      </c>
      <c r="E57" s="78">
        <f t="shared" si="4"/>
        <v>13913125894.330002</v>
      </c>
      <c r="H57" s="1">
        <f>(SUM(E57:$E$58)/SUM(D57:$D$58))/C57</f>
        <v>2.1740227905194396</v>
      </c>
      <c r="J57" s="1">
        <f t="shared" si="5"/>
        <v>1.1570417165078697E-4</v>
      </c>
      <c r="K57" s="1">
        <f t="shared" si="6"/>
        <v>1.561615424813831E-4</v>
      </c>
      <c r="M57" s="474">
        <f t="shared" si="7"/>
        <v>0.99984383845751856</v>
      </c>
    </row>
    <row r="58" spans="1:13" x14ac:dyDescent="0.15">
      <c r="C58" s="1">
        <v>1301760</v>
      </c>
      <c r="D58" s="78">
        <f t="shared" si="3"/>
        <v>5589</v>
      </c>
      <c r="E58" s="78">
        <f t="shared" si="4"/>
        <v>16613272155.01</v>
      </c>
      <c r="H58" s="1">
        <f>(SUM(E58:$E$58)/SUM(D58:$D$58))/C58</f>
        <v>2.2834428547404033</v>
      </c>
      <c r="J58" s="1">
        <f t="shared" si="5"/>
        <v>4.0457370830596118E-5</v>
      </c>
      <c r="K58" s="1">
        <f>J58+K59</f>
        <v>4.0457370830596118E-5</v>
      </c>
      <c r="M58" s="474">
        <f t="shared" si="7"/>
        <v>0.99995954262916942</v>
      </c>
    </row>
    <row r="59" spans="1:13" x14ac:dyDescent="0.15">
      <c r="D59" s="1">
        <f>SUM(D48:D58)</f>
        <v>26494416</v>
      </c>
      <c r="E59" s="78">
        <f t="shared" si="4"/>
        <v>1004511954650.3101</v>
      </c>
    </row>
    <row r="61" spans="1:13" x14ac:dyDescent="0.15">
      <c r="D61" s="1" t="s">
        <v>564</v>
      </c>
      <c r="E61" s="1" t="s">
        <v>563</v>
      </c>
      <c r="F61" s="1" t="s">
        <v>566</v>
      </c>
      <c r="G61" s="1" t="s">
        <v>565</v>
      </c>
      <c r="I61" s="1" t="s">
        <v>576</v>
      </c>
      <c r="J61" s="1" t="s">
        <v>567</v>
      </c>
      <c r="K61" s="1" t="s">
        <v>568</v>
      </c>
    </row>
    <row r="62" spans="1:13" x14ac:dyDescent="0.15">
      <c r="C62" s="1">
        <f>C48</f>
        <v>0</v>
      </c>
      <c r="D62" s="78">
        <f>D12</f>
        <v>2252037</v>
      </c>
      <c r="E62" s="1">
        <f>(I12*1000000/$I$44)</f>
        <v>414534</v>
      </c>
      <c r="F62" s="1">
        <f>'[1]Tabela 6.2'!J41</f>
        <v>0.24952015436023062</v>
      </c>
      <c r="G62" s="1">
        <f>(E62)*F62</f>
        <v>103434.58766756384</v>
      </c>
      <c r="I62" s="1">
        <f>M48</f>
        <v>0.80821356001930944</v>
      </c>
      <c r="J62" s="78">
        <f>E48/D62</f>
        <v>382.90149675604795</v>
      </c>
      <c r="K62" s="1">
        <f t="shared" ref="K62:K72" si="8">(D62-G62)/D62</f>
        <v>0.95407065351609943</v>
      </c>
      <c r="L62" s="1">
        <f>(D73-G73)/D73</f>
        <v>0.79297120325699388</v>
      </c>
    </row>
    <row r="63" spans="1:13" x14ac:dyDescent="0.15">
      <c r="C63" s="1">
        <f t="shared" ref="C63:C72" si="9">C49</f>
        <v>4068</v>
      </c>
      <c r="D63" s="78">
        <f t="shared" ref="D63:D72" si="10">D13</f>
        <v>1203052</v>
      </c>
      <c r="E63" s="1">
        <f t="shared" ref="E63:E72" si="11">I13*1000000/$I$44</f>
        <v>157126</v>
      </c>
      <c r="F63" s="1">
        <f>'[1]Tabela 6.2'!J42</f>
        <v>0.30259496985855078</v>
      </c>
      <c r="G63" s="1">
        <f t="shared" ref="G63:G72" si="12">E63*F63</f>
        <v>47545.537233994648</v>
      </c>
      <c r="I63" s="1">
        <f t="shared" ref="I63:I72" si="13">M49</f>
        <v>0.82451549167671212</v>
      </c>
      <c r="J63" s="78">
        <f t="shared" ref="J63:J72" si="14">E49/D49</f>
        <v>6538.0072521719767</v>
      </c>
      <c r="K63" s="1">
        <f t="shared" si="8"/>
        <v>0.96047923345458508</v>
      </c>
    </row>
    <row r="64" spans="1:13" x14ac:dyDescent="0.15">
      <c r="C64" s="1">
        <f t="shared" si="9"/>
        <v>8136</v>
      </c>
      <c r="D64" s="78">
        <f t="shared" si="10"/>
        <v>2669376</v>
      </c>
      <c r="E64" s="1">
        <f t="shared" si="11"/>
        <v>841358</v>
      </c>
      <c r="F64" s="1">
        <f>'[1]Tabela 6.2'!J43</f>
        <v>0.31597051711526186</v>
      </c>
      <c r="G64" s="1">
        <f t="shared" si="12"/>
        <v>265844.32233906246</v>
      </c>
      <c r="I64" s="1">
        <f t="shared" si="13"/>
        <v>0.83322408371330015</v>
      </c>
      <c r="J64" s="78">
        <f t="shared" si="14"/>
        <v>13104.781449076487</v>
      </c>
      <c r="K64" s="1">
        <f t="shared" si="8"/>
        <v>0.90040956300683661</v>
      </c>
    </row>
    <row r="65" spans="3:11" x14ac:dyDescent="0.15">
      <c r="C65" s="1">
        <f t="shared" si="9"/>
        <v>16272</v>
      </c>
      <c r="D65" s="78">
        <f t="shared" si="10"/>
        <v>8255187</v>
      </c>
      <c r="E65" s="1">
        <f t="shared" si="11"/>
        <v>4091179</v>
      </c>
      <c r="F65" s="1">
        <f>'[1]Tabela 6.2'!J44</f>
        <v>0.36270081657721487</v>
      </c>
      <c r="G65" s="1">
        <f t="shared" si="12"/>
        <v>1483873.9640635534</v>
      </c>
      <c r="I65" s="1">
        <f t="shared" si="13"/>
        <v>0.85254702783895642</v>
      </c>
      <c r="J65" s="78">
        <f t="shared" si="14"/>
        <v>20435.311622204321</v>
      </c>
      <c r="K65" s="1">
        <f t="shared" si="8"/>
        <v>0.82024950324401458</v>
      </c>
    </row>
    <row r="66" spans="3:11" x14ac:dyDescent="0.15">
      <c r="C66" s="1">
        <f t="shared" si="9"/>
        <v>24408</v>
      </c>
      <c r="D66" s="78">
        <f t="shared" si="10"/>
        <v>5884156</v>
      </c>
      <c r="E66" s="1">
        <f t="shared" si="11"/>
        <v>4199947</v>
      </c>
      <c r="F66" s="1">
        <f>'[1]Tabela 6.2'!J45</f>
        <v>0.37959055059648766</v>
      </c>
      <c r="G66" s="1">
        <f t="shared" si="12"/>
        <v>1594260.1942060667</v>
      </c>
      <c r="I66" s="1">
        <f t="shared" si="13"/>
        <v>0.91230425842312468</v>
      </c>
      <c r="J66" s="78">
        <f t="shared" si="14"/>
        <v>31662.671594752072</v>
      </c>
      <c r="K66" s="1">
        <f t="shared" si="8"/>
        <v>0.72905881587672616</v>
      </c>
    </row>
    <row r="67" spans="3:11" x14ac:dyDescent="0.15">
      <c r="C67" s="1">
        <f t="shared" si="9"/>
        <v>40680</v>
      </c>
      <c r="D67" s="78">
        <f t="shared" si="10"/>
        <v>3893185</v>
      </c>
      <c r="E67" s="1">
        <f t="shared" si="11"/>
        <v>2899579.0000000005</v>
      </c>
      <c r="F67" s="1">
        <f>'[1]Tabela 6.2'!J46</f>
        <v>0.38885036842730075</v>
      </c>
      <c r="G67" s="1">
        <f t="shared" si="12"/>
        <v>1127502.3624340645</v>
      </c>
      <c r="I67" s="1">
        <f t="shared" si="13"/>
        <v>0.95489818959454664</v>
      </c>
      <c r="J67" s="78">
        <f t="shared" si="14"/>
        <v>56150.647520410668</v>
      </c>
      <c r="K67" s="1">
        <f t="shared" si="8"/>
        <v>0.71039075655688988</v>
      </c>
    </row>
    <row r="68" spans="3:11" x14ac:dyDescent="0.15">
      <c r="C68" s="1">
        <f t="shared" si="9"/>
        <v>81360</v>
      </c>
      <c r="D68" s="78">
        <f t="shared" si="10"/>
        <v>1613840</v>
      </c>
      <c r="E68" s="1">
        <f t="shared" si="11"/>
        <v>1423380</v>
      </c>
      <c r="F68" s="1">
        <f>'[1]Tabela 6.2'!J47</f>
        <v>0.40338662979911244</v>
      </c>
      <c r="G68" s="1">
        <f t="shared" si="12"/>
        <v>574172.46112346067</v>
      </c>
      <c r="I68" s="1">
        <f t="shared" si="13"/>
        <v>0.98307998047969858</v>
      </c>
      <c r="J68" s="78">
        <f t="shared" si="14"/>
        <v>112894.9895380583</v>
      </c>
      <c r="K68" s="1">
        <f t="shared" si="8"/>
        <v>0.64421971129513422</v>
      </c>
    </row>
    <row r="69" spans="3:11" x14ac:dyDescent="0.15">
      <c r="C69" s="1">
        <f t="shared" si="9"/>
        <v>162720</v>
      </c>
      <c r="D69" s="78">
        <f t="shared" si="10"/>
        <v>607180</v>
      </c>
      <c r="E69" s="1">
        <f t="shared" si="11"/>
        <v>576985.00000000012</v>
      </c>
      <c r="F69" s="1">
        <f>'[1]Tabela 6.2'!J48</f>
        <v>0.41391281040326483</v>
      </c>
      <c r="G69" s="1">
        <f t="shared" si="12"/>
        <v>238821.48291052782</v>
      </c>
      <c r="I69" s="1">
        <f t="shared" si="13"/>
        <v>0.99476216393671224</v>
      </c>
      <c r="J69" s="78">
        <f t="shared" si="14"/>
        <v>220741.61330588954</v>
      </c>
      <c r="K69" s="1">
        <f t="shared" si="8"/>
        <v>0.60667103180189097</v>
      </c>
    </row>
    <row r="70" spans="3:11" x14ac:dyDescent="0.15">
      <c r="C70" s="1">
        <f t="shared" si="9"/>
        <v>325440</v>
      </c>
      <c r="D70" s="78">
        <f t="shared" si="10"/>
        <v>94830</v>
      </c>
      <c r="E70" s="1">
        <f t="shared" si="11"/>
        <v>96717</v>
      </c>
      <c r="F70" s="1">
        <f>F69</f>
        <v>0.41391281040326483</v>
      </c>
      <c r="G70" s="1">
        <f t="shared" si="12"/>
        <v>40032.405283772561</v>
      </c>
      <c r="I70" s="1">
        <f t="shared" si="13"/>
        <v>0.99915738784455288</v>
      </c>
      <c r="J70" s="78">
        <f t="shared" si="14"/>
        <v>426462.90458705049</v>
      </c>
      <c r="K70" s="1">
        <f t="shared" si="8"/>
        <v>0.57785083534986226</v>
      </c>
    </row>
    <row r="71" spans="3:11" x14ac:dyDescent="0.15">
      <c r="C71" s="1">
        <f t="shared" si="9"/>
        <v>650880</v>
      </c>
      <c r="D71" s="78">
        <f t="shared" si="10"/>
        <v>15984</v>
      </c>
      <c r="E71" s="1">
        <f t="shared" si="11"/>
        <v>16905.000000000004</v>
      </c>
      <c r="F71" s="1">
        <f t="shared" ref="F71:F72" si="15">F70</f>
        <v>0.41391281040326483</v>
      </c>
      <c r="G71" s="1">
        <f t="shared" si="12"/>
        <v>6997.1960598671931</v>
      </c>
      <c r="I71" s="1">
        <f t="shared" si="13"/>
        <v>0.99984383845751856</v>
      </c>
      <c r="J71" s="78">
        <f t="shared" si="14"/>
        <v>870440.80920482997</v>
      </c>
      <c r="K71" s="1">
        <f t="shared" si="8"/>
        <v>0.56223748374204241</v>
      </c>
    </row>
    <row r="72" spans="3:11" x14ac:dyDescent="0.15">
      <c r="C72" s="1">
        <f t="shared" si="9"/>
        <v>1301760</v>
      </c>
      <c r="D72" s="78">
        <f t="shared" si="10"/>
        <v>5589</v>
      </c>
      <c r="E72" s="1">
        <f t="shared" si="11"/>
        <v>6336</v>
      </c>
      <c r="F72" s="1">
        <f t="shared" si="15"/>
        <v>0.41391281040326483</v>
      </c>
      <c r="G72" s="1">
        <f t="shared" si="12"/>
        <v>2622.5515667150858</v>
      </c>
      <c r="I72" s="1">
        <f t="shared" si="13"/>
        <v>0.99995954262916942</v>
      </c>
      <c r="J72" s="78">
        <f t="shared" si="14"/>
        <v>2972494.5705868672</v>
      </c>
      <c r="K72" s="1">
        <f t="shared" si="8"/>
        <v>0.53076550962335201</v>
      </c>
    </row>
    <row r="73" spans="3:11" x14ac:dyDescent="0.15">
      <c r="D73" s="78">
        <f>SUM(D62:D72)</f>
        <v>26494416</v>
      </c>
      <c r="E73" s="78">
        <f>SUM(E62:E72)</f>
        <v>14724046</v>
      </c>
      <c r="G73" s="1">
        <f>SUM(G62:G72)</f>
        <v>5485107.0648886487</v>
      </c>
    </row>
    <row r="74" spans="3:11" x14ac:dyDescent="0.15">
      <c r="D74" s="78">
        <f>D23</f>
        <v>26494416</v>
      </c>
      <c r="E74" s="78">
        <f>(I23)*1000000/I44</f>
        <v>14724045.999999998</v>
      </c>
    </row>
  </sheetData>
  <mergeCells count="13">
    <mergeCell ref="U10:U11"/>
    <mergeCell ref="T10:T11"/>
    <mergeCell ref="C10:C11"/>
    <mergeCell ref="D10:D11"/>
    <mergeCell ref="E10:E11"/>
    <mergeCell ref="F10:F11"/>
    <mergeCell ref="G10:G11"/>
    <mergeCell ref="H10:N10"/>
    <mergeCell ref="O10:O11"/>
    <mergeCell ref="P10:P11"/>
    <mergeCell ref="Q10:Q11"/>
    <mergeCell ref="R10:R11"/>
    <mergeCell ref="S10:S11"/>
  </mergeCells>
  <conditionalFormatting sqref="K29">
    <cfRule type="cellIs" dxfId="22" priority="4" stopIfTrue="1" operator="equal">
      <formula>0</formula>
    </cfRule>
  </conditionalFormatting>
  <pageMargins left="0.25" right="0.25" top="0.75" bottom="0.75" header="0.3" footer="0.3"/>
  <pageSetup paperSize="9" scale="80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H94"/>
  <sheetViews>
    <sheetView showGridLines="0" topLeftCell="A39" zoomScale="125" zoomScaleNormal="125" zoomScalePageLayoutView="125" workbookViewId="0">
      <selection activeCell="J48" sqref="J48:J58"/>
    </sheetView>
  </sheetViews>
  <sheetFormatPr baseColWidth="10" defaultColWidth="8.83203125" defaultRowHeight="13" x14ac:dyDescent="0.15"/>
  <cols>
    <col min="1" max="1" width="25.5" style="1" bestFit="1" customWidth="1"/>
    <col min="2" max="2" width="10.5" style="1" bestFit="1" customWidth="1"/>
    <col min="3" max="3" width="17.6640625" style="1" customWidth="1"/>
    <col min="4" max="4" width="10.5" style="1" customWidth="1"/>
    <col min="5" max="5" width="15.33203125" style="1" customWidth="1"/>
    <col min="6" max="6" width="8" style="1" customWidth="1"/>
    <col min="7" max="7" width="9" style="1" customWidth="1"/>
    <col min="8" max="8" width="8.33203125" style="1" customWidth="1"/>
    <col min="9" max="9" width="16.83203125" style="1" customWidth="1"/>
    <col min="10" max="10" width="20.33203125" style="1" customWidth="1"/>
    <col min="11" max="11" width="8" style="1" customWidth="1"/>
    <col min="12" max="12" width="7" style="1" customWidth="1"/>
    <col min="13" max="13" width="8.33203125" style="1" bestFit="1" customWidth="1"/>
    <col min="14" max="14" width="8.1640625" style="1" customWidth="1"/>
    <col min="15" max="15" width="9" style="1" customWidth="1"/>
    <col min="16" max="18" width="8" style="1" customWidth="1"/>
    <col min="19" max="19" width="7.5" style="1" customWidth="1"/>
    <col min="20" max="20" width="10.5" style="1" customWidth="1"/>
    <col min="21" max="21" width="9" style="1" customWidth="1"/>
    <col min="22" max="22" width="2.33203125" style="1" customWidth="1"/>
    <col min="23" max="23" width="9.6640625" style="1" customWidth="1"/>
    <col min="24" max="24" width="5.83203125" style="1" customWidth="1"/>
    <col min="25" max="25" width="7.5" style="1" customWidth="1"/>
    <col min="26" max="26" width="5.83203125" style="1" customWidth="1"/>
    <col min="27" max="27" width="6.33203125" style="1" customWidth="1"/>
    <col min="28" max="28" width="6" style="1" customWidth="1"/>
    <col min="29" max="30" width="8.83203125" style="1"/>
    <col min="31" max="31" width="17.1640625" style="1" customWidth="1"/>
    <col min="32" max="32" width="16" style="1" customWidth="1"/>
    <col min="33" max="33" width="9.6640625" style="1" customWidth="1"/>
    <col min="34" max="256" width="8.83203125" style="1"/>
    <col min="257" max="257" width="2.5" style="1" customWidth="1"/>
    <col min="258" max="258" width="2.33203125" style="1" customWidth="1"/>
    <col min="259" max="259" width="17.83203125" style="1" customWidth="1"/>
    <col min="260" max="260" width="10.5" style="1" customWidth="1"/>
    <col min="261" max="261" width="9" style="1" customWidth="1"/>
    <col min="262" max="262" width="8" style="1" customWidth="1"/>
    <col min="263" max="263" width="9" style="1" customWidth="1"/>
    <col min="264" max="264" width="8.33203125" style="1" customWidth="1"/>
    <col min="265" max="265" width="11.5" style="1" customWidth="1"/>
    <col min="266" max="266" width="8.5" style="1" customWidth="1"/>
    <col min="267" max="267" width="8" style="1" customWidth="1"/>
    <col min="268" max="268" width="7" style="1" customWidth="1"/>
    <col min="269" max="269" width="7.5" style="1" customWidth="1"/>
    <col min="270" max="270" width="8.1640625" style="1" customWidth="1"/>
    <col min="271" max="271" width="9" style="1" customWidth="1"/>
    <col min="272" max="274" width="8" style="1" customWidth="1"/>
    <col min="275" max="275" width="7.5" style="1" customWidth="1"/>
    <col min="276" max="277" width="9" style="1" customWidth="1"/>
    <col min="278" max="278" width="2.33203125" style="1" customWidth="1"/>
    <col min="279" max="279" width="15.5" style="1" customWidth="1"/>
    <col min="280" max="280" width="8.5" style="1" customWidth="1"/>
    <col min="281" max="281" width="15" style="1" customWidth="1"/>
    <col min="282" max="286" width="8.83203125" style="1"/>
    <col min="287" max="287" width="17.1640625" style="1" customWidth="1"/>
    <col min="288" max="288" width="16" style="1" customWidth="1"/>
    <col min="289" max="289" width="9.6640625" style="1" customWidth="1"/>
    <col min="290" max="512" width="8.83203125" style="1"/>
    <col min="513" max="513" width="2.5" style="1" customWidth="1"/>
    <col min="514" max="514" width="2.33203125" style="1" customWidth="1"/>
    <col min="515" max="515" width="17.83203125" style="1" customWidth="1"/>
    <col min="516" max="516" width="10.5" style="1" customWidth="1"/>
    <col min="517" max="517" width="9" style="1" customWidth="1"/>
    <col min="518" max="518" width="8" style="1" customWidth="1"/>
    <col min="519" max="519" width="9" style="1" customWidth="1"/>
    <col min="520" max="520" width="8.33203125" style="1" customWidth="1"/>
    <col min="521" max="521" width="11.5" style="1" customWidth="1"/>
    <col min="522" max="522" width="8.5" style="1" customWidth="1"/>
    <col min="523" max="523" width="8" style="1" customWidth="1"/>
    <col min="524" max="524" width="7" style="1" customWidth="1"/>
    <col min="525" max="525" width="7.5" style="1" customWidth="1"/>
    <col min="526" max="526" width="8.1640625" style="1" customWidth="1"/>
    <col min="527" max="527" width="9" style="1" customWidth="1"/>
    <col min="528" max="530" width="8" style="1" customWidth="1"/>
    <col min="531" max="531" width="7.5" style="1" customWidth="1"/>
    <col min="532" max="533" width="9" style="1" customWidth="1"/>
    <col min="534" max="534" width="2.33203125" style="1" customWidth="1"/>
    <col min="535" max="535" width="15.5" style="1" customWidth="1"/>
    <col min="536" max="536" width="8.5" style="1" customWidth="1"/>
    <col min="537" max="537" width="15" style="1" customWidth="1"/>
    <col min="538" max="542" width="8.83203125" style="1"/>
    <col min="543" max="543" width="17.1640625" style="1" customWidth="1"/>
    <col min="544" max="544" width="16" style="1" customWidth="1"/>
    <col min="545" max="545" width="9.6640625" style="1" customWidth="1"/>
    <col min="546" max="768" width="8.83203125" style="1"/>
    <col min="769" max="769" width="2.5" style="1" customWidth="1"/>
    <col min="770" max="770" width="2.33203125" style="1" customWidth="1"/>
    <col min="771" max="771" width="17.83203125" style="1" customWidth="1"/>
    <col min="772" max="772" width="10.5" style="1" customWidth="1"/>
    <col min="773" max="773" width="9" style="1" customWidth="1"/>
    <col min="774" max="774" width="8" style="1" customWidth="1"/>
    <col min="775" max="775" width="9" style="1" customWidth="1"/>
    <col min="776" max="776" width="8.33203125" style="1" customWidth="1"/>
    <col min="777" max="777" width="11.5" style="1" customWidth="1"/>
    <col min="778" max="778" width="8.5" style="1" customWidth="1"/>
    <col min="779" max="779" width="8" style="1" customWidth="1"/>
    <col min="780" max="780" width="7" style="1" customWidth="1"/>
    <col min="781" max="781" width="7.5" style="1" customWidth="1"/>
    <col min="782" max="782" width="8.1640625" style="1" customWidth="1"/>
    <col min="783" max="783" width="9" style="1" customWidth="1"/>
    <col min="784" max="786" width="8" style="1" customWidth="1"/>
    <col min="787" max="787" width="7.5" style="1" customWidth="1"/>
    <col min="788" max="789" width="9" style="1" customWidth="1"/>
    <col min="790" max="790" width="2.33203125" style="1" customWidth="1"/>
    <col min="791" max="791" width="15.5" style="1" customWidth="1"/>
    <col min="792" max="792" width="8.5" style="1" customWidth="1"/>
    <col min="793" max="793" width="15" style="1" customWidth="1"/>
    <col min="794" max="798" width="8.83203125" style="1"/>
    <col min="799" max="799" width="17.1640625" style="1" customWidth="1"/>
    <col min="800" max="800" width="16" style="1" customWidth="1"/>
    <col min="801" max="801" width="9.6640625" style="1" customWidth="1"/>
    <col min="802" max="1024" width="8.83203125" style="1"/>
    <col min="1025" max="1025" width="2.5" style="1" customWidth="1"/>
    <col min="1026" max="1026" width="2.33203125" style="1" customWidth="1"/>
    <col min="1027" max="1027" width="17.83203125" style="1" customWidth="1"/>
    <col min="1028" max="1028" width="10.5" style="1" customWidth="1"/>
    <col min="1029" max="1029" width="9" style="1" customWidth="1"/>
    <col min="1030" max="1030" width="8" style="1" customWidth="1"/>
    <col min="1031" max="1031" width="9" style="1" customWidth="1"/>
    <col min="1032" max="1032" width="8.33203125" style="1" customWidth="1"/>
    <col min="1033" max="1033" width="11.5" style="1" customWidth="1"/>
    <col min="1034" max="1034" width="8.5" style="1" customWidth="1"/>
    <col min="1035" max="1035" width="8" style="1" customWidth="1"/>
    <col min="1036" max="1036" width="7" style="1" customWidth="1"/>
    <col min="1037" max="1037" width="7.5" style="1" customWidth="1"/>
    <col min="1038" max="1038" width="8.1640625" style="1" customWidth="1"/>
    <col min="1039" max="1039" width="9" style="1" customWidth="1"/>
    <col min="1040" max="1042" width="8" style="1" customWidth="1"/>
    <col min="1043" max="1043" width="7.5" style="1" customWidth="1"/>
    <col min="1044" max="1045" width="9" style="1" customWidth="1"/>
    <col min="1046" max="1046" width="2.33203125" style="1" customWidth="1"/>
    <col min="1047" max="1047" width="15.5" style="1" customWidth="1"/>
    <col min="1048" max="1048" width="8.5" style="1" customWidth="1"/>
    <col min="1049" max="1049" width="15" style="1" customWidth="1"/>
    <col min="1050" max="1054" width="8.83203125" style="1"/>
    <col min="1055" max="1055" width="17.1640625" style="1" customWidth="1"/>
    <col min="1056" max="1056" width="16" style="1" customWidth="1"/>
    <col min="1057" max="1057" width="9.6640625" style="1" customWidth="1"/>
    <col min="1058" max="1280" width="8.83203125" style="1"/>
    <col min="1281" max="1281" width="2.5" style="1" customWidth="1"/>
    <col min="1282" max="1282" width="2.33203125" style="1" customWidth="1"/>
    <col min="1283" max="1283" width="17.83203125" style="1" customWidth="1"/>
    <col min="1284" max="1284" width="10.5" style="1" customWidth="1"/>
    <col min="1285" max="1285" width="9" style="1" customWidth="1"/>
    <col min="1286" max="1286" width="8" style="1" customWidth="1"/>
    <col min="1287" max="1287" width="9" style="1" customWidth="1"/>
    <col min="1288" max="1288" width="8.33203125" style="1" customWidth="1"/>
    <col min="1289" max="1289" width="11.5" style="1" customWidth="1"/>
    <col min="1290" max="1290" width="8.5" style="1" customWidth="1"/>
    <col min="1291" max="1291" width="8" style="1" customWidth="1"/>
    <col min="1292" max="1292" width="7" style="1" customWidth="1"/>
    <col min="1293" max="1293" width="7.5" style="1" customWidth="1"/>
    <col min="1294" max="1294" width="8.1640625" style="1" customWidth="1"/>
    <col min="1295" max="1295" width="9" style="1" customWidth="1"/>
    <col min="1296" max="1298" width="8" style="1" customWidth="1"/>
    <col min="1299" max="1299" width="7.5" style="1" customWidth="1"/>
    <col min="1300" max="1301" width="9" style="1" customWidth="1"/>
    <col min="1302" max="1302" width="2.33203125" style="1" customWidth="1"/>
    <col min="1303" max="1303" width="15.5" style="1" customWidth="1"/>
    <col min="1304" max="1304" width="8.5" style="1" customWidth="1"/>
    <col min="1305" max="1305" width="15" style="1" customWidth="1"/>
    <col min="1306" max="1310" width="8.83203125" style="1"/>
    <col min="1311" max="1311" width="17.1640625" style="1" customWidth="1"/>
    <col min="1312" max="1312" width="16" style="1" customWidth="1"/>
    <col min="1313" max="1313" width="9.6640625" style="1" customWidth="1"/>
    <col min="1314" max="1536" width="8.83203125" style="1"/>
    <col min="1537" max="1537" width="2.5" style="1" customWidth="1"/>
    <col min="1538" max="1538" width="2.33203125" style="1" customWidth="1"/>
    <col min="1539" max="1539" width="17.83203125" style="1" customWidth="1"/>
    <col min="1540" max="1540" width="10.5" style="1" customWidth="1"/>
    <col min="1541" max="1541" width="9" style="1" customWidth="1"/>
    <col min="1542" max="1542" width="8" style="1" customWidth="1"/>
    <col min="1543" max="1543" width="9" style="1" customWidth="1"/>
    <col min="1544" max="1544" width="8.33203125" style="1" customWidth="1"/>
    <col min="1545" max="1545" width="11.5" style="1" customWidth="1"/>
    <col min="1546" max="1546" width="8.5" style="1" customWidth="1"/>
    <col min="1547" max="1547" width="8" style="1" customWidth="1"/>
    <col min="1548" max="1548" width="7" style="1" customWidth="1"/>
    <col min="1549" max="1549" width="7.5" style="1" customWidth="1"/>
    <col min="1550" max="1550" width="8.1640625" style="1" customWidth="1"/>
    <col min="1551" max="1551" width="9" style="1" customWidth="1"/>
    <col min="1552" max="1554" width="8" style="1" customWidth="1"/>
    <col min="1555" max="1555" width="7.5" style="1" customWidth="1"/>
    <col min="1556" max="1557" width="9" style="1" customWidth="1"/>
    <col min="1558" max="1558" width="2.33203125" style="1" customWidth="1"/>
    <col min="1559" max="1559" width="15.5" style="1" customWidth="1"/>
    <col min="1560" max="1560" width="8.5" style="1" customWidth="1"/>
    <col min="1561" max="1561" width="15" style="1" customWidth="1"/>
    <col min="1562" max="1566" width="8.83203125" style="1"/>
    <col min="1567" max="1567" width="17.1640625" style="1" customWidth="1"/>
    <col min="1568" max="1568" width="16" style="1" customWidth="1"/>
    <col min="1569" max="1569" width="9.6640625" style="1" customWidth="1"/>
    <col min="1570" max="1792" width="8.83203125" style="1"/>
    <col min="1793" max="1793" width="2.5" style="1" customWidth="1"/>
    <col min="1794" max="1794" width="2.33203125" style="1" customWidth="1"/>
    <col min="1795" max="1795" width="17.83203125" style="1" customWidth="1"/>
    <col min="1796" max="1796" width="10.5" style="1" customWidth="1"/>
    <col min="1797" max="1797" width="9" style="1" customWidth="1"/>
    <col min="1798" max="1798" width="8" style="1" customWidth="1"/>
    <col min="1799" max="1799" width="9" style="1" customWidth="1"/>
    <col min="1800" max="1800" width="8.33203125" style="1" customWidth="1"/>
    <col min="1801" max="1801" width="11.5" style="1" customWidth="1"/>
    <col min="1802" max="1802" width="8.5" style="1" customWidth="1"/>
    <col min="1803" max="1803" width="8" style="1" customWidth="1"/>
    <col min="1804" max="1804" width="7" style="1" customWidth="1"/>
    <col min="1805" max="1805" width="7.5" style="1" customWidth="1"/>
    <col min="1806" max="1806" width="8.1640625" style="1" customWidth="1"/>
    <col min="1807" max="1807" width="9" style="1" customWidth="1"/>
    <col min="1808" max="1810" width="8" style="1" customWidth="1"/>
    <col min="1811" max="1811" width="7.5" style="1" customWidth="1"/>
    <col min="1812" max="1813" width="9" style="1" customWidth="1"/>
    <col min="1814" max="1814" width="2.33203125" style="1" customWidth="1"/>
    <col min="1815" max="1815" width="15.5" style="1" customWidth="1"/>
    <col min="1816" max="1816" width="8.5" style="1" customWidth="1"/>
    <col min="1817" max="1817" width="15" style="1" customWidth="1"/>
    <col min="1818" max="1822" width="8.83203125" style="1"/>
    <col min="1823" max="1823" width="17.1640625" style="1" customWidth="1"/>
    <col min="1824" max="1824" width="16" style="1" customWidth="1"/>
    <col min="1825" max="1825" width="9.6640625" style="1" customWidth="1"/>
    <col min="1826" max="2048" width="8.83203125" style="1"/>
    <col min="2049" max="2049" width="2.5" style="1" customWidth="1"/>
    <col min="2050" max="2050" width="2.33203125" style="1" customWidth="1"/>
    <col min="2051" max="2051" width="17.83203125" style="1" customWidth="1"/>
    <col min="2052" max="2052" width="10.5" style="1" customWidth="1"/>
    <col min="2053" max="2053" width="9" style="1" customWidth="1"/>
    <col min="2054" max="2054" width="8" style="1" customWidth="1"/>
    <col min="2055" max="2055" width="9" style="1" customWidth="1"/>
    <col min="2056" max="2056" width="8.33203125" style="1" customWidth="1"/>
    <col min="2057" max="2057" width="11.5" style="1" customWidth="1"/>
    <col min="2058" max="2058" width="8.5" style="1" customWidth="1"/>
    <col min="2059" max="2059" width="8" style="1" customWidth="1"/>
    <col min="2060" max="2060" width="7" style="1" customWidth="1"/>
    <col min="2061" max="2061" width="7.5" style="1" customWidth="1"/>
    <col min="2062" max="2062" width="8.1640625" style="1" customWidth="1"/>
    <col min="2063" max="2063" width="9" style="1" customWidth="1"/>
    <col min="2064" max="2066" width="8" style="1" customWidth="1"/>
    <col min="2067" max="2067" width="7.5" style="1" customWidth="1"/>
    <col min="2068" max="2069" width="9" style="1" customWidth="1"/>
    <col min="2070" max="2070" width="2.33203125" style="1" customWidth="1"/>
    <col min="2071" max="2071" width="15.5" style="1" customWidth="1"/>
    <col min="2072" max="2072" width="8.5" style="1" customWidth="1"/>
    <col min="2073" max="2073" width="15" style="1" customWidth="1"/>
    <col min="2074" max="2078" width="8.83203125" style="1"/>
    <col min="2079" max="2079" width="17.1640625" style="1" customWidth="1"/>
    <col min="2080" max="2080" width="16" style="1" customWidth="1"/>
    <col min="2081" max="2081" width="9.6640625" style="1" customWidth="1"/>
    <col min="2082" max="2304" width="8.83203125" style="1"/>
    <col min="2305" max="2305" width="2.5" style="1" customWidth="1"/>
    <col min="2306" max="2306" width="2.33203125" style="1" customWidth="1"/>
    <col min="2307" max="2307" width="17.83203125" style="1" customWidth="1"/>
    <col min="2308" max="2308" width="10.5" style="1" customWidth="1"/>
    <col min="2309" max="2309" width="9" style="1" customWidth="1"/>
    <col min="2310" max="2310" width="8" style="1" customWidth="1"/>
    <col min="2311" max="2311" width="9" style="1" customWidth="1"/>
    <col min="2312" max="2312" width="8.33203125" style="1" customWidth="1"/>
    <col min="2313" max="2313" width="11.5" style="1" customWidth="1"/>
    <col min="2314" max="2314" width="8.5" style="1" customWidth="1"/>
    <col min="2315" max="2315" width="8" style="1" customWidth="1"/>
    <col min="2316" max="2316" width="7" style="1" customWidth="1"/>
    <col min="2317" max="2317" width="7.5" style="1" customWidth="1"/>
    <col min="2318" max="2318" width="8.1640625" style="1" customWidth="1"/>
    <col min="2319" max="2319" width="9" style="1" customWidth="1"/>
    <col min="2320" max="2322" width="8" style="1" customWidth="1"/>
    <col min="2323" max="2323" width="7.5" style="1" customWidth="1"/>
    <col min="2324" max="2325" width="9" style="1" customWidth="1"/>
    <col min="2326" max="2326" width="2.33203125" style="1" customWidth="1"/>
    <col min="2327" max="2327" width="15.5" style="1" customWidth="1"/>
    <col min="2328" max="2328" width="8.5" style="1" customWidth="1"/>
    <col min="2329" max="2329" width="15" style="1" customWidth="1"/>
    <col min="2330" max="2334" width="8.83203125" style="1"/>
    <col min="2335" max="2335" width="17.1640625" style="1" customWidth="1"/>
    <col min="2336" max="2336" width="16" style="1" customWidth="1"/>
    <col min="2337" max="2337" width="9.6640625" style="1" customWidth="1"/>
    <col min="2338" max="2560" width="8.83203125" style="1"/>
    <col min="2561" max="2561" width="2.5" style="1" customWidth="1"/>
    <col min="2562" max="2562" width="2.33203125" style="1" customWidth="1"/>
    <col min="2563" max="2563" width="17.83203125" style="1" customWidth="1"/>
    <col min="2564" max="2564" width="10.5" style="1" customWidth="1"/>
    <col min="2565" max="2565" width="9" style="1" customWidth="1"/>
    <col min="2566" max="2566" width="8" style="1" customWidth="1"/>
    <col min="2567" max="2567" width="9" style="1" customWidth="1"/>
    <col min="2568" max="2568" width="8.33203125" style="1" customWidth="1"/>
    <col min="2569" max="2569" width="11.5" style="1" customWidth="1"/>
    <col min="2570" max="2570" width="8.5" style="1" customWidth="1"/>
    <col min="2571" max="2571" width="8" style="1" customWidth="1"/>
    <col min="2572" max="2572" width="7" style="1" customWidth="1"/>
    <col min="2573" max="2573" width="7.5" style="1" customWidth="1"/>
    <col min="2574" max="2574" width="8.1640625" style="1" customWidth="1"/>
    <col min="2575" max="2575" width="9" style="1" customWidth="1"/>
    <col min="2576" max="2578" width="8" style="1" customWidth="1"/>
    <col min="2579" max="2579" width="7.5" style="1" customWidth="1"/>
    <col min="2580" max="2581" width="9" style="1" customWidth="1"/>
    <col min="2582" max="2582" width="2.33203125" style="1" customWidth="1"/>
    <col min="2583" max="2583" width="15.5" style="1" customWidth="1"/>
    <col min="2584" max="2584" width="8.5" style="1" customWidth="1"/>
    <col min="2585" max="2585" width="15" style="1" customWidth="1"/>
    <col min="2586" max="2590" width="8.83203125" style="1"/>
    <col min="2591" max="2591" width="17.1640625" style="1" customWidth="1"/>
    <col min="2592" max="2592" width="16" style="1" customWidth="1"/>
    <col min="2593" max="2593" width="9.6640625" style="1" customWidth="1"/>
    <col min="2594" max="2816" width="8.83203125" style="1"/>
    <col min="2817" max="2817" width="2.5" style="1" customWidth="1"/>
    <col min="2818" max="2818" width="2.33203125" style="1" customWidth="1"/>
    <col min="2819" max="2819" width="17.83203125" style="1" customWidth="1"/>
    <col min="2820" max="2820" width="10.5" style="1" customWidth="1"/>
    <col min="2821" max="2821" width="9" style="1" customWidth="1"/>
    <col min="2822" max="2822" width="8" style="1" customWidth="1"/>
    <col min="2823" max="2823" width="9" style="1" customWidth="1"/>
    <col min="2824" max="2824" width="8.33203125" style="1" customWidth="1"/>
    <col min="2825" max="2825" width="11.5" style="1" customWidth="1"/>
    <col min="2826" max="2826" width="8.5" style="1" customWidth="1"/>
    <col min="2827" max="2827" width="8" style="1" customWidth="1"/>
    <col min="2828" max="2828" width="7" style="1" customWidth="1"/>
    <col min="2829" max="2829" width="7.5" style="1" customWidth="1"/>
    <col min="2830" max="2830" width="8.1640625" style="1" customWidth="1"/>
    <col min="2831" max="2831" width="9" style="1" customWidth="1"/>
    <col min="2832" max="2834" width="8" style="1" customWidth="1"/>
    <col min="2835" max="2835" width="7.5" style="1" customWidth="1"/>
    <col min="2836" max="2837" width="9" style="1" customWidth="1"/>
    <col min="2838" max="2838" width="2.33203125" style="1" customWidth="1"/>
    <col min="2839" max="2839" width="15.5" style="1" customWidth="1"/>
    <col min="2840" max="2840" width="8.5" style="1" customWidth="1"/>
    <col min="2841" max="2841" width="15" style="1" customWidth="1"/>
    <col min="2842" max="2846" width="8.83203125" style="1"/>
    <col min="2847" max="2847" width="17.1640625" style="1" customWidth="1"/>
    <col min="2848" max="2848" width="16" style="1" customWidth="1"/>
    <col min="2849" max="2849" width="9.6640625" style="1" customWidth="1"/>
    <col min="2850" max="3072" width="8.83203125" style="1"/>
    <col min="3073" max="3073" width="2.5" style="1" customWidth="1"/>
    <col min="3074" max="3074" width="2.33203125" style="1" customWidth="1"/>
    <col min="3075" max="3075" width="17.83203125" style="1" customWidth="1"/>
    <col min="3076" max="3076" width="10.5" style="1" customWidth="1"/>
    <col min="3077" max="3077" width="9" style="1" customWidth="1"/>
    <col min="3078" max="3078" width="8" style="1" customWidth="1"/>
    <col min="3079" max="3079" width="9" style="1" customWidth="1"/>
    <col min="3080" max="3080" width="8.33203125" style="1" customWidth="1"/>
    <col min="3081" max="3081" width="11.5" style="1" customWidth="1"/>
    <col min="3082" max="3082" width="8.5" style="1" customWidth="1"/>
    <col min="3083" max="3083" width="8" style="1" customWidth="1"/>
    <col min="3084" max="3084" width="7" style="1" customWidth="1"/>
    <col min="3085" max="3085" width="7.5" style="1" customWidth="1"/>
    <col min="3086" max="3086" width="8.1640625" style="1" customWidth="1"/>
    <col min="3087" max="3087" width="9" style="1" customWidth="1"/>
    <col min="3088" max="3090" width="8" style="1" customWidth="1"/>
    <col min="3091" max="3091" width="7.5" style="1" customWidth="1"/>
    <col min="3092" max="3093" width="9" style="1" customWidth="1"/>
    <col min="3094" max="3094" width="2.33203125" style="1" customWidth="1"/>
    <col min="3095" max="3095" width="15.5" style="1" customWidth="1"/>
    <col min="3096" max="3096" width="8.5" style="1" customWidth="1"/>
    <col min="3097" max="3097" width="15" style="1" customWidth="1"/>
    <col min="3098" max="3102" width="8.83203125" style="1"/>
    <col min="3103" max="3103" width="17.1640625" style="1" customWidth="1"/>
    <col min="3104" max="3104" width="16" style="1" customWidth="1"/>
    <col min="3105" max="3105" width="9.6640625" style="1" customWidth="1"/>
    <col min="3106" max="3328" width="8.83203125" style="1"/>
    <col min="3329" max="3329" width="2.5" style="1" customWidth="1"/>
    <col min="3330" max="3330" width="2.33203125" style="1" customWidth="1"/>
    <col min="3331" max="3331" width="17.83203125" style="1" customWidth="1"/>
    <col min="3332" max="3332" width="10.5" style="1" customWidth="1"/>
    <col min="3333" max="3333" width="9" style="1" customWidth="1"/>
    <col min="3334" max="3334" width="8" style="1" customWidth="1"/>
    <col min="3335" max="3335" width="9" style="1" customWidth="1"/>
    <col min="3336" max="3336" width="8.33203125" style="1" customWidth="1"/>
    <col min="3337" max="3337" width="11.5" style="1" customWidth="1"/>
    <col min="3338" max="3338" width="8.5" style="1" customWidth="1"/>
    <col min="3339" max="3339" width="8" style="1" customWidth="1"/>
    <col min="3340" max="3340" width="7" style="1" customWidth="1"/>
    <col min="3341" max="3341" width="7.5" style="1" customWidth="1"/>
    <col min="3342" max="3342" width="8.1640625" style="1" customWidth="1"/>
    <col min="3343" max="3343" width="9" style="1" customWidth="1"/>
    <col min="3344" max="3346" width="8" style="1" customWidth="1"/>
    <col min="3347" max="3347" width="7.5" style="1" customWidth="1"/>
    <col min="3348" max="3349" width="9" style="1" customWidth="1"/>
    <col min="3350" max="3350" width="2.33203125" style="1" customWidth="1"/>
    <col min="3351" max="3351" width="15.5" style="1" customWidth="1"/>
    <col min="3352" max="3352" width="8.5" style="1" customWidth="1"/>
    <col min="3353" max="3353" width="15" style="1" customWidth="1"/>
    <col min="3354" max="3358" width="8.83203125" style="1"/>
    <col min="3359" max="3359" width="17.1640625" style="1" customWidth="1"/>
    <col min="3360" max="3360" width="16" style="1" customWidth="1"/>
    <col min="3361" max="3361" width="9.6640625" style="1" customWidth="1"/>
    <col min="3362" max="3584" width="8.83203125" style="1"/>
    <col min="3585" max="3585" width="2.5" style="1" customWidth="1"/>
    <col min="3586" max="3586" width="2.33203125" style="1" customWidth="1"/>
    <col min="3587" max="3587" width="17.83203125" style="1" customWidth="1"/>
    <col min="3588" max="3588" width="10.5" style="1" customWidth="1"/>
    <col min="3589" max="3589" width="9" style="1" customWidth="1"/>
    <col min="3590" max="3590" width="8" style="1" customWidth="1"/>
    <col min="3591" max="3591" width="9" style="1" customWidth="1"/>
    <col min="3592" max="3592" width="8.33203125" style="1" customWidth="1"/>
    <col min="3593" max="3593" width="11.5" style="1" customWidth="1"/>
    <col min="3594" max="3594" width="8.5" style="1" customWidth="1"/>
    <col min="3595" max="3595" width="8" style="1" customWidth="1"/>
    <col min="3596" max="3596" width="7" style="1" customWidth="1"/>
    <col min="3597" max="3597" width="7.5" style="1" customWidth="1"/>
    <col min="3598" max="3598" width="8.1640625" style="1" customWidth="1"/>
    <col min="3599" max="3599" width="9" style="1" customWidth="1"/>
    <col min="3600" max="3602" width="8" style="1" customWidth="1"/>
    <col min="3603" max="3603" width="7.5" style="1" customWidth="1"/>
    <col min="3604" max="3605" width="9" style="1" customWidth="1"/>
    <col min="3606" max="3606" width="2.33203125" style="1" customWidth="1"/>
    <col min="3607" max="3607" width="15.5" style="1" customWidth="1"/>
    <col min="3608" max="3608" width="8.5" style="1" customWidth="1"/>
    <col min="3609" max="3609" width="15" style="1" customWidth="1"/>
    <col min="3610" max="3614" width="8.83203125" style="1"/>
    <col min="3615" max="3615" width="17.1640625" style="1" customWidth="1"/>
    <col min="3616" max="3616" width="16" style="1" customWidth="1"/>
    <col min="3617" max="3617" width="9.6640625" style="1" customWidth="1"/>
    <col min="3618" max="3840" width="8.83203125" style="1"/>
    <col min="3841" max="3841" width="2.5" style="1" customWidth="1"/>
    <col min="3842" max="3842" width="2.33203125" style="1" customWidth="1"/>
    <col min="3843" max="3843" width="17.83203125" style="1" customWidth="1"/>
    <col min="3844" max="3844" width="10.5" style="1" customWidth="1"/>
    <col min="3845" max="3845" width="9" style="1" customWidth="1"/>
    <col min="3846" max="3846" width="8" style="1" customWidth="1"/>
    <col min="3847" max="3847" width="9" style="1" customWidth="1"/>
    <col min="3848" max="3848" width="8.33203125" style="1" customWidth="1"/>
    <col min="3849" max="3849" width="11.5" style="1" customWidth="1"/>
    <col min="3850" max="3850" width="8.5" style="1" customWidth="1"/>
    <col min="3851" max="3851" width="8" style="1" customWidth="1"/>
    <col min="3852" max="3852" width="7" style="1" customWidth="1"/>
    <col min="3853" max="3853" width="7.5" style="1" customWidth="1"/>
    <col min="3854" max="3854" width="8.1640625" style="1" customWidth="1"/>
    <col min="3855" max="3855" width="9" style="1" customWidth="1"/>
    <col min="3856" max="3858" width="8" style="1" customWidth="1"/>
    <col min="3859" max="3859" width="7.5" style="1" customWidth="1"/>
    <col min="3860" max="3861" width="9" style="1" customWidth="1"/>
    <col min="3862" max="3862" width="2.33203125" style="1" customWidth="1"/>
    <col min="3863" max="3863" width="15.5" style="1" customWidth="1"/>
    <col min="3864" max="3864" width="8.5" style="1" customWidth="1"/>
    <col min="3865" max="3865" width="15" style="1" customWidth="1"/>
    <col min="3866" max="3870" width="8.83203125" style="1"/>
    <col min="3871" max="3871" width="17.1640625" style="1" customWidth="1"/>
    <col min="3872" max="3872" width="16" style="1" customWidth="1"/>
    <col min="3873" max="3873" width="9.6640625" style="1" customWidth="1"/>
    <col min="3874" max="4096" width="8.83203125" style="1"/>
    <col min="4097" max="4097" width="2.5" style="1" customWidth="1"/>
    <col min="4098" max="4098" width="2.33203125" style="1" customWidth="1"/>
    <col min="4099" max="4099" width="17.83203125" style="1" customWidth="1"/>
    <col min="4100" max="4100" width="10.5" style="1" customWidth="1"/>
    <col min="4101" max="4101" width="9" style="1" customWidth="1"/>
    <col min="4102" max="4102" width="8" style="1" customWidth="1"/>
    <col min="4103" max="4103" width="9" style="1" customWidth="1"/>
    <col min="4104" max="4104" width="8.33203125" style="1" customWidth="1"/>
    <col min="4105" max="4105" width="11.5" style="1" customWidth="1"/>
    <col min="4106" max="4106" width="8.5" style="1" customWidth="1"/>
    <col min="4107" max="4107" width="8" style="1" customWidth="1"/>
    <col min="4108" max="4108" width="7" style="1" customWidth="1"/>
    <col min="4109" max="4109" width="7.5" style="1" customWidth="1"/>
    <col min="4110" max="4110" width="8.1640625" style="1" customWidth="1"/>
    <col min="4111" max="4111" width="9" style="1" customWidth="1"/>
    <col min="4112" max="4114" width="8" style="1" customWidth="1"/>
    <col min="4115" max="4115" width="7.5" style="1" customWidth="1"/>
    <col min="4116" max="4117" width="9" style="1" customWidth="1"/>
    <col min="4118" max="4118" width="2.33203125" style="1" customWidth="1"/>
    <col min="4119" max="4119" width="15.5" style="1" customWidth="1"/>
    <col min="4120" max="4120" width="8.5" style="1" customWidth="1"/>
    <col min="4121" max="4121" width="15" style="1" customWidth="1"/>
    <col min="4122" max="4126" width="8.83203125" style="1"/>
    <col min="4127" max="4127" width="17.1640625" style="1" customWidth="1"/>
    <col min="4128" max="4128" width="16" style="1" customWidth="1"/>
    <col min="4129" max="4129" width="9.6640625" style="1" customWidth="1"/>
    <col min="4130" max="4352" width="8.83203125" style="1"/>
    <col min="4353" max="4353" width="2.5" style="1" customWidth="1"/>
    <col min="4354" max="4354" width="2.33203125" style="1" customWidth="1"/>
    <col min="4355" max="4355" width="17.83203125" style="1" customWidth="1"/>
    <col min="4356" max="4356" width="10.5" style="1" customWidth="1"/>
    <col min="4357" max="4357" width="9" style="1" customWidth="1"/>
    <col min="4358" max="4358" width="8" style="1" customWidth="1"/>
    <col min="4359" max="4359" width="9" style="1" customWidth="1"/>
    <col min="4360" max="4360" width="8.33203125" style="1" customWidth="1"/>
    <col min="4361" max="4361" width="11.5" style="1" customWidth="1"/>
    <col min="4362" max="4362" width="8.5" style="1" customWidth="1"/>
    <col min="4363" max="4363" width="8" style="1" customWidth="1"/>
    <col min="4364" max="4364" width="7" style="1" customWidth="1"/>
    <col min="4365" max="4365" width="7.5" style="1" customWidth="1"/>
    <col min="4366" max="4366" width="8.1640625" style="1" customWidth="1"/>
    <col min="4367" max="4367" width="9" style="1" customWidth="1"/>
    <col min="4368" max="4370" width="8" style="1" customWidth="1"/>
    <col min="4371" max="4371" width="7.5" style="1" customWidth="1"/>
    <col min="4372" max="4373" width="9" style="1" customWidth="1"/>
    <col min="4374" max="4374" width="2.33203125" style="1" customWidth="1"/>
    <col min="4375" max="4375" width="15.5" style="1" customWidth="1"/>
    <col min="4376" max="4376" width="8.5" style="1" customWidth="1"/>
    <col min="4377" max="4377" width="15" style="1" customWidth="1"/>
    <col min="4378" max="4382" width="8.83203125" style="1"/>
    <col min="4383" max="4383" width="17.1640625" style="1" customWidth="1"/>
    <col min="4384" max="4384" width="16" style="1" customWidth="1"/>
    <col min="4385" max="4385" width="9.6640625" style="1" customWidth="1"/>
    <col min="4386" max="4608" width="8.83203125" style="1"/>
    <col min="4609" max="4609" width="2.5" style="1" customWidth="1"/>
    <col min="4610" max="4610" width="2.33203125" style="1" customWidth="1"/>
    <col min="4611" max="4611" width="17.83203125" style="1" customWidth="1"/>
    <col min="4612" max="4612" width="10.5" style="1" customWidth="1"/>
    <col min="4613" max="4613" width="9" style="1" customWidth="1"/>
    <col min="4614" max="4614" width="8" style="1" customWidth="1"/>
    <col min="4615" max="4615" width="9" style="1" customWidth="1"/>
    <col min="4616" max="4616" width="8.33203125" style="1" customWidth="1"/>
    <col min="4617" max="4617" width="11.5" style="1" customWidth="1"/>
    <col min="4618" max="4618" width="8.5" style="1" customWidth="1"/>
    <col min="4619" max="4619" width="8" style="1" customWidth="1"/>
    <col min="4620" max="4620" width="7" style="1" customWidth="1"/>
    <col min="4621" max="4621" width="7.5" style="1" customWidth="1"/>
    <col min="4622" max="4622" width="8.1640625" style="1" customWidth="1"/>
    <col min="4623" max="4623" width="9" style="1" customWidth="1"/>
    <col min="4624" max="4626" width="8" style="1" customWidth="1"/>
    <col min="4627" max="4627" width="7.5" style="1" customWidth="1"/>
    <col min="4628" max="4629" width="9" style="1" customWidth="1"/>
    <col min="4630" max="4630" width="2.33203125" style="1" customWidth="1"/>
    <col min="4631" max="4631" width="15.5" style="1" customWidth="1"/>
    <col min="4632" max="4632" width="8.5" style="1" customWidth="1"/>
    <col min="4633" max="4633" width="15" style="1" customWidth="1"/>
    <col min="4634" max="4638" width="8.83203125" style="1"/>
    <col min="4639" max="4639" width="17.1640625" style="1" customWidth="1"/>
    <col min="4640" max="4640" width="16" style="1" customWidth="1"/>
    <col min="4641" max="4641" width="9.6640625" style="1" customWidth="1"/>
    <col min="4642" max="4864" width="8.83203125" style="1"/>
    <col min="4865" max="4865" width="2.5" style="1" customWidth="1"/>
    <col min="4866" max="4866" width="2.33203125" style="1" customWidth="1"/>
    <col min="4867" max="4867" width="17.83203125" style="1" customWidth="1"/>
    <col min="4868" max="4868" width="10.5" style="1" customWidth="1"/>
    <col min="4869" max="4869" width="9" style="1" customWidth="1"/>
    <col min="4870" max="4870" width="8" style="1" customWidth="1"/>
    <col min="4871" max="4871" width="9" style="1" customWidth="1"/>
    <col min="4872" max="4872" width="8.33203125" style="1" customWidth="1"/>
    <col min="4873" max="4873" width="11.5" style="1" customWidth="1"/>
    <col min="4874" max="4874" width="8.5" style="1" customWidth="1"/>
    <col min="4875" max="4875" width="8" style="1" customWidth="1"/>
    <col min="4876" max="4876" width="7" style="1" customWidth="1"/>
    <col min="4877" max="4877" width="7.5" style="1" customWidth="1"/>
    <col min="4878" max="4878" width="8.1640625" style="1" customWidth="1"/>
    <col min="4879" max="4879" width="9" style="1" customWidth="1"/>
    <col min="4880" max="4882" width="8" style="1" customWidth="1"/>
    <col min="4883" max="4883" width="7.5" style="1" customWidth="1"/>
    <col min="4884" max="4885" width="9" style="1" customWidth="1"/>
    <col min="4886" max="4886" width="2.33203125" style="1" customWidth="1"/>
    <col min="4887" max="4887" width="15.5" style="1" customWidth="1"/>
    <col min="4888" max="4888" width="8.5" style="1" customWidth="1"/>
    <col min="4889" max="4889" width="15" style="1" customWidth="1"/>
    <col min="4890" max="4894" width="8.83203125" style="1"/>
    <col min="4895" max="4895" width="17.1640625" style="1" customWidth="1"/>
    <col min="4896" max="4896" width="16" style="1" customWidth="1"/>
    <col min="4897" max="4897" width="9.6640625" style="1" customWidth="1"/>
    <col min="4898" max="5120" width="8.83203125" style="1"/>
    <col min="5121" max="5121" width="2.5" style="1" customWidth="1"/>
    <col min="5122" max="5122" width="2.33203125" style="1" customWidth="1"/>
    <col min="5123" max="5123" width="17.83203125" style="1" customWidth="1"/>
    <col min="5124" max="5124" width="10.5" style="1" customWidth="1"/>
    <col min="5125" max="5125" width="9" style="1" customWidth="1"/>
    <col min="5126" max="5126" width="8" style="1" customWidth="1"/>
    <col min="5127" max="5127" width="9" style="1" customWidth="1"/>
    <col min="5128" max="5128" width="8.33203125" style="1" customWidth="1"/>
    <col min="5129" max="5129" width="11.5" style="1" customWidth="1"/>
    <col min="5130" max="5130" width="8.5" style="1" customWidth="1"/>
    <col min="5131" max="5131" width="8" style="1" customWidth="1"/>
    <col min="5132" max="5132" width="7" style="1" customWidth="1"/>
    <col min="5133" max="5133" width="7.5" style="1" customWidth="1"/>
    <col min="5134" max="5134" width="8.1640625" style="1" customWidth="1"/>
    <col min="5135" max="5135" width="9" style="1" customWidth="1"/>
    <col min="5136" max="5138" width="8" style="1" customWidth="1"/>
    <col min="5139" max="5139" width="7.5" style="1" customWidth="1"/>
    <col min="5140" max="5141" width="9" style="1" customWidth="1"/>
    <col min="5142" max="5142" width="2.33203125" style="1" customWidth="1"/>
    <col min="5143" max="5143" width="15.5" style="1" customWidth="1"/>
    <col min="5144" max="5144" width="8.5" style="1" customWidth="1"/>
    <col min="5145" max="5145" width="15" style="1" customWidth="1"/>
    <col min="5146" max="5150" width="8.83203125" style="1"/>
    <col min="5151" max="5151" width="17.1640625" style="1" customWidth="1"/>
    <col min="5152" max="5152" width="16" style="1" customWidth="1"/>
    <col min="5153" max="5153" width="9.6640625" style="1" customWidth="1"/>
    <col min="5154" max="5376" width="8.83203125" style="1"/>
    <col min="5377" max="5377" width="2.5" style="1" customWidth="1"/>
    <col min="5378" max="5378" width="2.33203125" style="1" customWidth="1"/>
    <col min="5379" max="5379" width="17.83203125" style="1" customWidth="1"/>
    <col min="5380" max="5380" width="10.5" style="1" customWidth="1"/>
    <col min="5381" max="5381" width="9" style="1" customWidth="1"/>
    <col min="5382" max="5382" width="8" style="1" customWidth="1"/>
    <col min="5383" max="5383" width="9" style="1" customWidth="1"/>
    <col min="5384" max="5384" width="8.33203125" style="1" customWidth="1"/>
    <col min="5385" max="5385" width="11.5" style="1" customWidth="1"/>
    <col min="5386" max="5386" width="8.5" style="1" customWidth="1"/>
    <col min="5387" max="5387" width="8" style="1" customWidth="1"/>
    <col min="5388" max="5388" width="7" style="1" customWidth="1"/>
    <col min="5389" max="5389" width="7.5" style="1" customWidth="1"/>
    <col min="5390" max="5390" width="8.1640625" style="1" customWidth="1"/>
    <col min="5391" max="5391" width="9" style="1" customWidth="1"/>
    <col min="5392" max="5394" width="8" style="1" customWidth="1"/>
    <col min="5395" max="5395" width="7.5" style="1" customWidth="1"/>
    <col min="5396" max="5397" width="9" style="1" customWidth="1"/>
    <col min="5398" max="5398" width="2.33203125" style="1" customWidth="1"/>
    <col min="5399" max="5399" width="15.5" style="1" customWidth="1"/>
    <col min="5400" max="5400" width="8.5" style="1" customWidth="1"/>
    <col min="5401" max="5401" width="15" style="1" customWidth="1"/>
    <col min="5402" max="5406" width="8.83203125" style="1"/>
    <col min="5407" max="5407" width="17.1640625" style="1" customWidth="1"/>
    <col min="5408" max="5408" width="16" style="1" customWidth="1"/>
    <col min="5409" max="5409" width="9.6640625" style="1" customWidth="1"/>
    <col min="5410" max="5632" width="8.83203125" style="1"/>
    <col min="5633" max="5633" width="2.5" style="1" customWidth="1"/>
    <col min="5634" max="5634" width="2.33203125" style="1" customWidth="1"/>
    <col min="5635" max="5635" width="17.83203125" style="1" customWidth="1"/>
    <col min="5636" max="5636" width="10.5" style="1" customWidth="1"/>
    <col min="5637" max="5637" width="9" style="1" customWidth="1"/>
    <col min="5638" max="5638" width="8" style="1" customWidth="1"/>
    <col min="5639" max="5639" width="9" style="1" customWidth="1"/>
    <col min="5640" max="5640" width="8.33203125" style="1" customWidth="1"/>
    <col min="5641" max="5641" width="11.5" style="1" customWidth="1"/>
    <col min="5642" max="5642" width="8.5" style="1" customWidth="1"/>
    <col min="5643" max="5643" width="8" style="1" customWidth="1"/>
    <col min="5644" max="5644" width="7" style="1" customWidth="1"/>
    <col min="5645" max="5645" width="7.5" style="1" customWidth="1"/>
    <col min="5646" max="5646" width="8.1640625" style="1" customWidth="1"/>
    <col min="5647" max="5647" width="9" style="1" customWidth="1"/>
    <col min="5648" max="5650" width="8" style="1" customWidth="1"/>
    <col min="5651" max="5651" width="7.5" style="1" customWidth="1"/>
    <col min="5652" max="5653" width="9" style="1" customWidth="1"/>
    <col min="5654" max="5654" width="2.33203125" style="1" customWidth="1"/>
    <col min="5655" max="5655" width="15.5" style="1" customWidth="1"/>
    <col min="5656" max="5656" width="8.5" style="1" customWidth="1"/>
    <col min="5657" max="5657" width="15" style="1" customWidth="1"/>
    <col min="5658" max="5662" width="8.83203125" style="1"/>
    <col min="5663" max="5663" width="17.1640625" style="1" customWidth="1"/>
    <col min="5664" max="5664" width="16" style="1" customWidth="1"/>
    <col min="5665" max="5665" width="9.6640625" style="1" customWidth="1"/>
    <col min="5666" max="5888" width="8.83203125" style="1"/>
    <col min="5889" max="5889" width="2.5" style="1" customWidth="1"/>
    <col min="5890" max="5890" width="2.33203125" style="1" customWidth="1"/>
    <col min="5891" max="5891" width="17.83203125" style="1" customWidth="1"/>
    <col min="5892" max="5892" width="10.5" style="1" customWidth="1"/>
    <col min="5893" max="5893" width="9" style="1" customWidth="1"/>
    <col min="5894" max="5894" width="8" style="1" customWidth="1"/>
    <col min="5895" max="5895" width="9" style="1" customWidth="1"/>
    <col min="5896" max="5896" width="8.33203125" style="1" customWidth="1"/>
    <col min="5897" max="5897" width="11.5" style="1" customWidth="1"/>
    <col min="5898" max="5898" width="8.5" style="1" customWidth="1"/>
    <col min="5899" max="5899" width="8" style="1" customWidth="1"/>
    <col min="5900" max="5900" width="7" style="1" customWidth="1"/>
    <col min="5901" max="5901" width="7.5" style="1" customWidth="1"/>
    <col min="5902" max="5902" width="8.1640625" style="1" customWidth="1"/>
    <col min="5903" max="5903" width="9" style="1" customWidth="1"/>
    <col min="5904" max="5906" width="8" style="1" customWidth="1"/>
    <col min="5907" max="5907" width="7.5" style="1" customWidth="1"/>
    <col min="5908" max="5909" width="9" style="1" customWidth="1"/>
    <col min="5910" max="5910" width="2.33203125" style="1" customWidth="1"/>
    <col min="5911" max="5911" width="15.5" style="1" customWidth="1"/>
    <col min="5912" max="5912" width="8.5" style="1" customWidth="1"/>
    <col min="5913" max="5913" width="15" style="1" customWidth="1"/>
    <col min="5914" max="5918" width="8.83203125" style="1"/>
    <col min="5919" max="5919" width="17.1640625" style="1" customWidth="1"/>
    <col min="5920" max="5920" width="16" style="1" customWidth="1"/>
    <col min="5921" max="5921" width="9.6640625" style="1" customWidth="1"/>
    <col min="5922" max="6144" width="8.83203125" style="1"/>
    <col min="6145" max="6145" width="2.5" style="1" customWidth="1"/>
    <col min="6146" max="6146" width="2.33203125" style="1" customWidth="1"/>
    <col min="6147" max="6147" width="17.83203125" style="1" customWidth="1"/>
    <col min="6148" max="6148" width="10.5" style="1" customWidth="1"/>
    <col min="6149" max="6149" width="9" style="1" customWidth="1"/>
    <col min="6150" max="6150" width="8" style="1" customWidth="1"/>
    <col min="6151" max="6151" width="9" style="1" customWidth="1"/>
    <col min="6152" max="6152" width="8.33203125" style="1" customWidth="1"/>
    <col min="6153" max="6153" width="11.5" style="1" customWidth="1"/>
    <col min="6154" max="6154" width="8.5" style="1" customWidth="1"/>
    <col min="6155" max="6155" width="8" style="1" customWidth="1"/>
    <col min="6156" max="6156" width="7" style="1" customWidth="1"/>
    <col min="6157" max="6157" width="7.5" style="1" customWidth="1"/>
    <col min="6158" max="6158" width="8.1640625" style="1" customWidth="1"/>
    <col min="6159" max="6159" width="9" style="1" customWidth="1"/>
    <col min="6160" max="6162" width="8" style="1" customWidth="1"/>
    <col min="6163" max="6163" width="7.5" style="1" customWidth="1"/>
    <col min="6164" max="6165" width="9" style="1" customWidth="1"/>
    <col min="6166" max="6166" width="2.33203125" style="1" customWidth="1"/>
    <col min="6167" max="6167" width="15.5" style="1" customWidth="1"/>
    <col min="6168" max="6168" width="8.5" style="1" customWidth="1"/>
    <col min="6169" max="6169" width="15" style="1" customWidth="1"/>
    <col min="6170" max="6174" width="8.83203125" style="1"/>
    <col min="6175" max="6175" width="17.1640625" style="1" customWidth="1"/>
    <col min="6176" max="6176" width="16" style="1" customWidth="1"/>
    <col min="6177" max="6177" width="9.6640625" style="1" customWidth="1"/>
    <col min="6178" max="6400" width="8.83203125" style="1"/>
    <col min="6401" max="6401" width="2.5" style="1" customWidth="1"/>
    <col min="6402" max="6402" width="2.33203125" style="1" customWidth="1"/>
    <col min="6403" max="6403" width="17.83203125" style="1" customWidth="1"/>
    <col min="6404" max="6404" width="10.5" style="1" customWidth="1"/>
    <col min="6405" max="6405" width="9" style="1" customWidth="1"/>
    <col min="6406" max="6406" width="8" style="1" customWidth="1"/>
    <col min="6407" max="6407" width="9" style="1" customWidth="1"/>
    <col min="6408" max="6408" width="8.33203125" style="1" customWidth="1"/>
    <col min="6409" max="6409" width="11.5" style="1" customWidth="1"/>
    <col min="6410" max="6410" width="8.5" style="1" customWidth="1"/>
    <col min="6411" max="6411" width="8" style="1" customWidth="1"/>
    <col min="6412" max="6412" width="7" style="1" customWidth="1"/>
    <col min="6413" max="6413" width="7.5" style="1" customWidth="1"/>
    <col min="6414" max="6414" width="8.1640625" style="1" customWidth="1"/>
    <col min="6415" max="6415" width="9" style="1" customWidth="1"/>
    <col min="6416" max="6418" width="8" style="1" customWidth="1"/>
    <col min="6419" max="6419" width="7.5" style="1" customWidth="1"/>
    <col min="6420" max="6421" width="9" style="1" customWidth="1"/>
    <col min="6422" max="6422" width="2.33203125" style="1" customWidth="1"/>
    <col min="6423" max="6423" width="15.5" style="1" customWidth="1"/>
    <col min="6424" max="6424" width="8.5" style="1" customWidth="1"/>
    <col min="6425" max="6425" width="15" style="1" customWidth="1"/>
    <col min="6426" max="6430" width="8.83203125" style="1"/>
    <col min="6431" max="6431" width="17.1640625" style="1" customWidth="1"/>
    <col min="6432" max="6432" width="16" style="1" customWidth="1"/>
    <col min="6433" max="6433" width="9.6640625" style="1" customWidth="1"/>
    <col min="6434" max="6656" width="8.83203125" style="1"/>
    <col min="6657" max="6657" width="2.5" style="1" customWidth="1"/>
    <col min="6658" max="6658" width="2.33203125" style="1" customWidth="1"/>
    <col min="6659" max="6659" width="17.83203125" style="1" customWidth="1"/>
    <col min="6660" max="6660" width="10.5" style="1" customWidth="1"/>
    <col min="6661" max="6661" width="9" style="1" customWidth="1"/>
    <col min="6662" max="6662" width="8" style="1" customWidth="1"/>
    <col min="6663" max="6663" width="9" style="1" customWidth="1"/>
    <col min="6664" max="6664" width="8.33203125" style="1" customWidth="1"/>
    <col min="6665" max="6665" width="11.5" style="1" customWidth="1"/>
    <col min="6666" max="6666" width="8.5" style="1" customWidth="1"/>
    <col min="6667" max="6667" width="8" style="1" customWidth="1"/>
    <col min="6668" max="6668" width="7" style="1" customWidth="1"/>
    <col min="6669" max="6669" width="7.5" style="1" customWidth="1"/>
    <col min="6670" max="6670" width="8.1640625" style="1" customWidth="1"/>
    <col min="6671" max="6671" width="9" style="1" customWidth="1"/>
    <col min="6672" max="6674" width="8" style="1" customWidth="1"/>
    <col min="6675" max="6675" width="7.5" style="1" customWidth="1"/>
    <col min="6676" max="6677" width="9" style="1" customWidth="1"/>
    <col min="6678" max="6678" width="2.33203125" style="1" customWidth="1"/>
    <col min="6679" max="6679" width="15.5" style="1" customWidth="1"/>
    <col min="6680" max="6680" width="8.5" style="1" customWidth="1"/>
    <col min="6681" max="6681" width="15" style="1" customWidth="1"/>
    <col min="6682" max="6686" width="8.83203125" style="1"/>
    <col min="6687" max="6687" width="17.1640625" style="1" customWidth="1"/>
    <col min="6688" max="6688" width="16" style="1" customWidth="1"/>
    <col min="6689" max="6689" width="9.6640625" style="1" customWidth="1"/>
    <col min="6690" max="6912" width="8.83203125" style="1"/>
    <col min="6913" max="6913" width="2.5" style="1" customWidth="1"/>
    <col min="6914" max="6914" width="2.33203125" style="1" customWidth="1"/>
    <col min="6915" max="6915" width="17.83203125" style="1" customWidth="1"/>
    <col min="6916" max="6916" width="10.5" style="1" customWidth="1"/>
    <col min="6917" max="6917" width="9" style="1" customWidth="1"/>
    <col min="6918" max="6918" width="8" style="1" customWidth="1"/>
    <col min="6919" max="6919" width="9" style="1" customWidth="1"/>
    <col min="6920" max="6920" width="8.33203125" style="1" customWidth="1"/>
    <col min="6921" max="6921" width="11.5" style="1" customWidth="1"/>
    <col min="6922" max="6922" width="8.5" style="1" customWidth="1"/>
    <col min="6923" max="6923" width="8" style="1" customWidth="1"/>
    <col min="6924" max="6924" width="7" style="1" customWidth="1"/>
    <col min="6925" max="6925" width="7.5" style="1" customWidth="1"/>
    <col min="6926" max="6926" width="8.1640625" style="1" customWidth="1"/>
    <col min="6927" max="6927" width="9" style="1" customWidth="1"/>
    <col min="6928" max="6930" width="8" style="1" customWidth="1"/>
    <col min="6931" max="6931" width="7.5" style="1" customWidth="1"/>
    <col min="6932" max="6933" width="9" style="1" customWidth="1"/>
    <col min="6934" max="6934" width="2.33203125" style="1" customWidth="1"/>
    <col min="6935" max="6935" width="15.5" style="1" customWidth="1"/>
    <col min="6936" max="6936" width="8.5" style="1" customWidth="1"/>
    <col min="6937" max="6937" width="15" style="1" customWidth="1"/>
    <col min="6938" max="6942" width="8.83203125" style="1"/>
    <col min="6943" max="6943" width="17.1640625" style="1" customWidth="1"/>
    <col min="6944" max="6944" width="16" style="1" customWidth="1"/>
    <col min="6945" max="6945" width="9.6640625" style="1" customWidth="1"/>
    <col min="6946" max="7168" width="8.83203125" style="1"/>
    <col min="7169" max="7169" width="2.5" style="1" customWidth="1"/>
    <col min="7170" max="7170" width="2.33203125" style="1" customWidth="1"/>
    <col min="7171" max="7171" width="17.83203125" style="1" customWidth="1"/>
    <col min="7172" max="7172" width="10.5" style="1" customWidth="1"/>
    <col min="7173" max="7173" width="9" style="1" customWidth="1"/>
    <col min="7174" max="7174" width="8" style="1" customWidth="1"/>
    <col min="7175" max="7175" width="9" style="1" customWidth="1"/>
    <col min="7176" max="7176" width="8.33203125" style="1" customWidth="1"/>
    <col min="7177" max="7177" width="11.5" style="1" customWidth="1"/>
    <col min="7178" max="7178" width="8.5" style="1" customWidth="1"/>
    <col min="7179" max="7179" width="8" style="1" customWidth="1"/>
    <col min="7180" max="7180" width="7" style="1" customWidth="1"/>
    <col min="7181" max="7181" width="7.5" style="1" customWidth="1"/>
    <col min="7182" max="7182" width="8.1640625" style="1" customWidth="1"/>
    <col min="7183" max="7183" width="9" style="1" customWidth="1"/>
    <col min="7184" max="7186" width="8" style="1" customWidth="1"/>
    <col min="7187" max="7187" width="7.5" style="1" customWidth="1"/>
    <col min="7188" max="7189" width="9" style="1" customWidth="1"/>
    <col min="7190" max="7190" width="2.33203125" style="1" customWidth="1"/>
    <col min="7191" max="7191" width="15.5" style="1" customWidth="1"/>
    <col min="7192" max="7192" width="8.5" style="1" customWidth="1"/>
    <col min="7193" max="7193" width="15" style="1" customWidth="1"/>
    <col min="7194" max="7198" width="8.83203125" style="1"/>
    <col min="7199" max="7199" width="17.1640625" style="1" customWidth="1"/>
    <col min="7200" max="7200" width="16" style="1" customWidth="1"/>
    <col min="7201" max="7201" width="9.6640625" style="1" customWidth="1"/>
    <col min="7202" max="7424" width="8.83203125" style="1"/>
    <col min="7425" max="7425" width="2.5" style="1" customWidth="1"/>
    <col min="7426" max="7426" width="2.33203125" style="1" customWidth="1"/>
    <col min="7427" max="7427" width="17.83203125" style="1" customWidth="1"/>
    <col min="7428" max="7428" width="10.5" style="1" customWidth="1"/>
    <col min="7429" max="7429" width="9" style="1" customWidth="1"/>
    <col min="7430" max="7430" width="8" style="1" customWidth="1"/>
    <col min="7431" max="7431" width="9" style="1" customWidth="1"/>
    <col min="7432" max="7432" width="8.33203125" style="1" customWidth="1"/>
    <col min="7433" max="7433" width="11.5" style="1" customWidth="1"/>
    <col min="7434" max="7434" width="8.5" style="1" customWidth="1"/>
    <col min="7435" max="7435" width="8" style="1" customWidth="1"/>
    <col min="7436" max="7436" width="7" style="1" customWidth="1"/>
    <col min="7437" max="7437" width="7.5" style="1" customWidth="1"/>
    <col min="7438" max="7438" width="8.1640625" style="1" customWidth="1"/>
    <col min="7439" max="7439" width="9" style="1" customWidth="1"/>
    <col min="7440" max="7442" width="8" style="1" customWidth="1"/>
    <col min="7443" max="7443" width="7.5" style="1" customWidth="1"/>
    <col min="7444" max="7445" width="9" style="1" customWidth="1"/>
    <col min="7446" max="7446" width="2.33203125" style="1" customWidth="1"/>
    <col min="7447" max="7447" width="15.5" style="1" customWidth="1"/>
    <col min="7448" max="7448" width="8.5" style="1" customWidth="1"/>
    <col min="7449" max="7449" width="15" style="1" customWidth="1"/>
    <col min="7450" max="7454" width="8.83203125" style="1"/>
    <col min="7455" max="7455" width="17.1640625" style="1" customWidth="1"/>
    <col min="7456" max="7456" width="16" style="1" customWidth="1"/>
    <col min="7457" max="7457" width="9.6640625" style="1" customWidth="1"/>
    <col min="7458" max="7680" width="8.83203125" style="1"/>
    <col min="7681" max="7681" width="2.5" style="1" customWidth="1"/>
    <col min="7682" max="7682" width="2.33203125" style="1" customWidth="1"/>
    <col min="7683" max="7683" width="17.83203125" style="1" customWidth="1"/>
    <col min="7684" max="7684" width="10.5" style="1" customWidth="1"/>
    <col min="7685" max="7685" width="9" style="1" customWidth="1"/>
    <col min="7686" max="7686" width="8" style="1" customWidth="1"/>
    <col min="7687" max="7687" width="9" style="1" customWidth="1"/>
    <col min="7688" max="7688" width="8.33203125" style="1" customWidth="1"/>
    <col min="7689" max="7689" width="11.5" style="1" customWidth="1"/>
    <col min="7690" max="7690" width="8.5" style="1" customWidth="1"/>
    <col min="7691" max="7691" width="8" style="1" customWidth="1"/>
    <col min="7692" max="7692" width="7" style="1" customWidth="1"/>
    <col min="7693" max="7693" width="7.5" style="1" customWidth="1"/>
    <col min="7694" max="7694" width="8.1640625" style="1" customWidth="1"/>
    <col min="7695" max="7695" width="9" style="1" customWidth="1"/>
    <col min="7696" max="7698" width="8" style="1" customWidth="1"/>
    <col min="7699" max="7699" width="7.5" style="1" customWidth="1"/>
    <col min="7700" max="7701" width="9" style="1" customWidth="1"/>
    <col min="7702" max="7702" width="2.33203125" style="1" customWidth="1"/>
    <col min="7703" max="7703" width="15.5" style="1" customWidth="1"/>
    <col min="7704" max="7704" width="8.5" style="1" customWidth="1"/>
    <col min="7705" max="7705" width="15" style="1" customWidth="1"/>
    <col min="7706" max="7710" width="8.83203125" style="1"/>
    <col min="7711" max="7711" width="17.1640625" style="1" customWidth="1"/>
    <col min="7712" max="7712" width="16" style="1" customWidth="1"/>
    <col min="7713" max="7713" width="9.6640625" style="1" customWidth="1"/>
    <col min="7714" max="7936" width="8.83203125" style="1"/>
    <col min="7937" max="7937" width="2.5" style="1" customWidth="1"/>
    <col min="7938" max="7938" width="2.33203125" style="1" customWidth="1"/>
    <col min="7939" max="7939" width="17.83203125" style="1" customWidth="1"/>
    <col min="7940" max="7940" width="10.5" style="1" customWidth="1"/>
    <col min="7941" max="7941" width="9" style="1" customWidth="1"/>
    <col min="7942" max="7942" width="8" style="1" customWidth="1"/>
    <col min="7943" max="7943" width="9" style="1" customWidth="1"/>
    <col min="7944" max="7944" width="8.33203125" style="1" customWidth="1"/>
    <col min="7945" max="7945" width="11.5" style="1" customWidth="1"/>
    <col min="7946" max="7946" width="8.5" style="1" customWidth="1"/>
    <col min="7947" max="7947" width="8" style="1" customWidth="1"/>
    <col min="7948" max="7948" width="7" style="1" customWidth="1"/>
    <col min="7949" max="7949" width="7.5" style="1" customWidth="1"/>
    <col min="7950" max="7950" width="8.1640625" style="1" customWidth="1"/>
    <col min="7951" max="7951" width="9" style="1" customWidth="1"/>
    <col min="7952" max="7954" width="8" style="1" customWidth="1"/>
    <col min="7955" max="7955" width="7.5" style="1" customWidth="1"/>
    <col min="7956" max="7957" width="9" style="1" customWidth="1"/>
    <col min="7958" max="7958" width="2.33203125" style="1" customWidth="1"/>
    <col min="7959" max="7959" width="15.5" style="1" customWidth="1"/>
    <col min="7960" max="7960" width="8.5" style="1" customWidth="1"/>
    <col min="7961" max="7961" width="15" style="1" customWidth="1"/>
    <col min="7962" max="7966" width="8.83203125" style="1"/>
    <col min="7967" max="7967" width="17.1640625" style="1" customWidth="1"/>
    <col min="7968" max="7968" width="16" style="1" customWidth="1"/>
    <col min="7969" max="7969" width="9.6640625" style="1" customWidth="1"/>
    <col min="7970" max="8192" width="8.83203125" style="1"/>
    <col min="8193" max="8193" width="2.5" style="1" customWidth="1"/>
    <col min="8194" max="8194" width="2.33203125" style="1" customWidth="1"/>
    <col min="8195" max="8195" width="17.83203125" style="1" customWidth="1"/>
    <col min="8196" max="8196" width="10.5" style="1" customWidth="1"/>
    <col min="8197" max="8197" width="9" style="1" customWidth="1"/>
    <col min="8198" max="8198" width="8" style="1" customWidth="1"/>
    <col min="8199" max="8199" width="9" style="1" customWidth="1"/>
    <col min="8200" max="8200" width="8.33203125" style="1" customWidth="1"/>
    <col min="8201" max="8201" width="11.5" style="1" customWidth="1"/>
    <col min="8202" max="8202" width="8.5" style="1" customWidth="1"/>
    <col min="8203" max="8203" width="8" style="1" customWidth="1"/>
    <col min="8204" max="8204" width="7" style="1" customWidth="1"/>
    <col min="8205" max="8205" width="7.5" style="1" customWidth="1"/>
    <col min="8206" max="8206" width="8.1640625" style="1" customWidth="1"/>
    <col min="8207" max="8207" width="9" style="1" customWidth="1"/>
    <col min="8208" max="8210" width="8" style="1" customWidth="1"/>
    <col min="8211" max="8211" width="7.5" style="1" customWidth="1"/>
    <col min="8212" max="8213" width="9" style="1" customWidth="1"/>
    <col min="8214" max="8214" width="2.33203125" style="1" customWidth="1"/>
    <col min="8215" max="8215" width="15.5" style="1" customWidth="1"/>
    <col min="8216" max="8216" width="8.5" style="1" customWidth="1"/>
    <col min="8217" max="8217" width="15" style="1" customWidth="1"/>
    <col min="8218" max="8222" width="8.83203125" style="1"/>
    <col min="8223" max="8223" width="17.1640625" style="1" customWidth="1"/>
    <col min="8224" max="8224" width="16" style="1" customWidth="1"/>
    <col min="8225" max="8225" width="9.6640625" style="1" customWidth="1"/>
    <col min="8226" max="8448" width="8.83203125" style="1"/>
    <col min="8449" max="8449" width="2.5" style="1" customWidth="1"/>
    <col min="8450" max="8450" width="2.33203125" style="1" customWidth="1"/>
    <col min="8451" max="8451" width="17.83203125" style="1" customWidth="1"/>
    <col min="8452" max="8452" width="10.5" style="1" customWidth="1"/>
    <col min="8453" max="8453" width="9" style="1" customWidth="1"/>
    <col min="8454" max="8454" width="8" style="1" customWidth="1"/>
    <col min="8455" max="8455" width="9" style="1" customWidth="1"/>
    <col min="8456" max="8456" width="8.33203125" style="1" customWidth="1"/>
    <col min="8457" max="8457" width="11.5" style="1" customWidth="1"/>
    <col min="8458" max="8458" width="8.5" style="1" customWidth="1"/>
    <col min="8459" max="8459" width="8" style="1" customWidth="1"/>
    <col min="8460" max="8460" width="7" style="1" customWidth="1"/>
    <col min="8461" max="8461" width="7.5" style="1" customWidth="1"/>
    <col min="8462" max="8462" width="8.1640625" style="1" customWidth="1"/>
    <col min="8463" max="8463" width="9" style="1" customWidth="1"/>
    <col min="8464" max="8466" width="8" style="1" customWidth="1"/>
    <col min="8467" max="8467" width="7.5" style="1" customWidth="1"/>
    <col min="8468" max="8469" width="9" style="1" customWidth="1"/>
    <col min="8470" max="8470" width="2.33203125" style="1" customWidth="1"/>
    <col min="8471" max="8471" width="15.5" style="1" customWidth="1"/>
    <col min="8472" max="8472" width="8.5" style="1" customWidth="1"/>
    <col min="8473" max="8473" width="15" style="1" customWidth="1"/>
    <col min="8474" max="8478" width="8.83203125" style="1"/>
    <col min="8479" max="8479" width="17.1640625" style="1" customWidth="1"/>
    <col min="8480" max="8480" width="16" style="1" customWidth="1"/>
    <col min="8481" max="8481" width="9.6640625" style="1" customWidth="1"/>
    <col min="8482" max="8704" width="8.83203125" style="1"/>
    <col min="8705" max="8705" width="2.5" style="1" customWidth="1"/>
    <col min="8706" max="8706" width="2.33203125" style="1" customWidth="1"/>
    <col min="8707" max="8707" width="17.83203125" style="1" customWidth="1"/>
    <col min="8708" max="8708" width="10.5" style="1" customWidth="1"/>
    <col min="8709" max="8709" width="9" style="1" customWidth="1"/>
    <col min="8710" max="8710" width="8" style="1" customWidth="1"/>
    <col min="8711" max="8711" width="9" style="1" customWidth="1"/>
    <col min="8712" max="8712" width="8.33203125" style="1" customWidth="1"/>
    <col min="8713" max="8713" width="11.5" style="1" customWidth="1"/>
    <col min="8714" max="8714" width="8.5" style="1" customWidth="1"/>
    <col min="8715" max="8715" width="8" style="1" customWidth="1"/>
    <col min="8716" max="8716" width="7" style="1" customWidth="1"/>
    <col min="8717" max="8717" width="7.5" style="1" customWidth="1"/>
    <col min="8718" max="8718" width="8.1640625" style="1" customWidth="1"/>
    <col min="8719" max="8719" width="9" style="1" customWidth="1"/>
    <col min="8720" max="8722" width="8" style="1" customWidth="1"/>
    <col min="8723" max="8723" width="7.5" style="1" customWidth="1"/>
    <col min="8724" max="8725" width="9" style="1" customWidth="1"/>
    <col min="8726" max="8726" width="2.33203125" style="1" customWidth="1"/>
    <col min="8727" max="8727" width="15.5" style="1" customWidth="1"/>
    <col min="8728" max="8728" width="8.5" style="1" customWidth="1"/>
    <col min="8729" max="8729" width="15" style="1" customWidth="1"/>
    <col min="8730" max="8734" width="8.83203125" style="1"/>
    <col min="8735" max="8735" width="17.1640625" style="1" customWidth="1"/>
    <col min="8736" max="8736" width="16" style="1" customWidth="1"/>
    <col min="8737" max="8737" width="9.6640625" style="1" customWidth="1"/>
    <col min="8738" max="8960" width="8.83203125" style="1"/>
    <col min="8961" max="8961" width="2.5" style="1" customWidth="1"/>
    <col min="8962" max="8962" width="2.33203125" style="1" customWidth="1"/>
    <col min="8963" max="8963" width="17.83203125" style="1" customWidth="1"/>
    <col min="8964" max="8964" width="10.5" style="1" customWidth="1"/>
    <col min="8965" max="8965" width="9" style="1" customWidth="1"/>
    <col min="8966" max="8966" width="8" style="1" customWidth="1"/>
    <col min="8967" max="8967" width="9" style="1" customWidth="1"/>
    <col min="8968" max="8968" width="8.33203125" style="1" customWidth="1"/>
    <col min="8969" max="8969" width="11.5" style="1" customWidth="1"/>
    <col min="8970" max="8970" width="8.5" style="1" customWidth="1"/>
    <col min="8971" max="8971" width="8" style="1" customWidth="1"/>
    <col min="8972" max="8972" width="7" style="1" customWidth="1"/>
    <col min="8973" max="8973" width="7.5" style="1" customWidth="1"/>
    <col min="8974" max="8974" width="8.1640625" style="1" customWidth="1"/>
    <col min="8975" max="8975" width="9" style="1" customWidth="1"/>
    <col min="8976" max="8978" width="8" style="1" customWidth="1"/>
    <col min="8979" max="8979" width="7.5" style="1" customWidth="1"/>
    <col min="8980" max="8981" width="9" style="1" customWidth="1"/>
    <col min="8982" max="8982" width="2.33203125" style="1" customWidth="1"/>
    <col min="8983" max="8983" width="15.5" style="1" customWidth="1"/>
    <col min="8984" max="8984" width="8.5" style="1" customWidth="1"/>
    <col min="8985" max="8985" width="15" style="1" customWidth="1"/>
    <col min="8986" max="8990" width="8.83203125" style="1"/>
    <col min="8991" max="8991" width="17.1640625" style="1" customWidth="1"/>
    <col min="8992" max="8992" width="16" style="1" customWidth="1"/>
    <col min="8993" max="8993" width="9.6640625" style="1" customWidth="1"/>
    <col min="8994" max="9216" width="8.83203125" style="1"/>
    <col min="9217" max="9217" width="2.5" style="1" customWidth="1"/>
    <col min="9218" max="9218" width="2.33203125" style="1" customWidth="1"/>
    <col min="9219" max="9219" width="17.83203125" style="1" customWidth="1"/>
    <col min="9220" max="9220" width="10.5" style="1" customWidth="1"/>
    <col min="9221" max="9221" width="9" style="1" customWidth="1"/>
    <col min="9222" max="9222" width="8" style="1" customWidth="1"/>
    <col min="9223" max="9223" width="9" style="1" customWidth="1"/>
    <col min="9224" max="9224" width="8.33203125" style="1" customWidth="1"/>
    <col min="9225" max="9225" width="11.5" style="1" customWidth="1"/>
    <col min="9226" max="9226" width="8.5" style="1" customWidth="1"/>
    <col min="9227" max="9227" width="8" style="1" customWidth="1"/>
    <col min="9228" max="9228" width="7" style="1" customWidth="1"/>
    <col min="9229" max="9229" width="7.5" style="1" customWidth="1"/>
    <col min="9230" max="9230" width="8.1640625" style="1" customWidth="1"/>
    <col min="9231" max="9231" width="9" style="1" customWidth="1"/>
    <col min="9232" max="9234" width="8" style="1" customWidth="1"/>
    <col min="9235" max="9235" width="7.5" style="1" customWidth="1"/>
    <col min="9236" max="9237" width="9" style="1" customWidth="1"/>
    <col min="9238" max="9238" width="2.33203125" style="1" customWidth="1"/>
    <col min="9239" max="9239" width="15.5" style="1" customWidth="1"/>
    <col min="9240" max="9240" width="8.5" style="1" customWidth="1"/>
    <col min="9241" max="9241" width="15" style="1" customWidth="1"/>
    <col min="9242" max="9246" width="8.83203125" style="1"/>
    <col min="9247" max="9247" width="17.1640625" style="1" customWidth="1"/>
    <col min="9248" max="9248" width="16" style="1" customWidth="1"/>
    <col min="9249" max="9249" width="9.6640625" style="1" customWidth="1"/>
    <col min="9250" max="9472" width="8.83203125" style="1"/>
    <col min="9473" max="9473" width="2.5" style="1" customWidth="1"/>
    <col min="9474" max="9474" width="2.33203125" style="1" customWidth="1"/>
    <col min="9475" max="9475" width="17.83203125" style="1" customWidth="1"/>
    <col min="9476" max="9476" width="10.5" style="1" customWidth="1"/>
    <col min="9477" max="9477" width="9" style="1" customWidth="1"/>
    <col min="9478" max="9478" width="8" style="1" customWidth="1"/>
    <col min="9479" max="9479" width="9" style="1" customWidth="1"/>
    <col min="9480" max="9480" width="8.33203125" style="1" customWidth="1"/>
    <col min="9481" max="9481" width="11.5" style="1" customWidth="1"/>
    <col min="9482" max="9482" width="8.5" style="1" customWidth="1"/>
    <col min="9483" max="9483" width="8" style="1" customWidth="1"/>
    <col min="9484" max="9484" width="7" style="1" customWidth="1"/>
    <col min="9485" max="9485" width="7.5" style="1" customWidth="1"/>
    <col min="9486" max="9486" width="8.1640625" style="1" customWidth="1"/>
    <col min="9487" max="9487" width="9" style="1" customWidth="1"/>
    <col min="9488" max="9490" width="8" style="1" customWidth="1"/>
    <col min="9491" max="9491" width="7.5" style="1" customWidth="1"/>
    <col min="9492" max="9493" width="9" style="1" customWidth="1"/>
    <col min="9494" max="9494" width="2.33203125" style="1" customWidth="1"/>
    <col min="9495" max="9495" width="15.5" style="1" customWidth="1"/>
    <col min="9496" max="9496" width="8.5" style="1" customWidth="1"/>
    <col min="9497" max="9497" width="15" style="1" customWidth="1"/>
    <col min="9498" max="9502" width="8.83203125" style="1"/>
    <col min="9503" max="9503" width="17.1640625" style="1" customWidth="1"/>
    <col min="9504" max="9504" width="16" style="1" customWidth="1"/>
    <col min="9505" max="9505" width="9.6640625" style="1" customWidth="1"/>
    <col min="9506" max="9728" width="8.83203125" style="1"/>
    <col min="9729" max="9729" width="2.5" style="1" customWidth="1"/>
    <col min="9730" max="9730" width="2.33203125" style="1" customWidth="1"/>
    <col min="9731" max="9731" width="17.83203125" style="1" customWidth="1"/>
    <col min="9732" max="9732" width="10.5" style="1" customWidth="1"/>
    <col min="9733" max="9733" width="9" style="1" customWidth="1"/>
    <col min="9734" max="9734" width="8" style="1" customWidth="1"/>
    <col min="9735" max="9735" width="9" style="1" customWidth="1"/>
    <col min="9736" max="9736" width="8.33203125" style="1" customWidth="1"/>
    <col min="9737" max="9737" width="11.5" style="1" customWidth="1"/>
    <col min="9738" max="9738" width="8.5" style="1" customWidth="1"/>
    <col min="9739" max="9739" width="8" style="1" customWidth="1"/>
    <col min="9740" max="9740" width="7" style="1" customWidth="1"/>
    <col min="9741" max="9741" width="7.5" style="1" customWidth="1"/>
    <col min="9742" max="9742" width="8.1640625" style="1" customWidth="1"/>
    <col min="9743" max="9743" width="9" style="1" customWidth="1"/>
    <col min="9744" max="9746" width="8" style="1" customWidth="1"/>
    <col min="9747" max="9747" width="7.5" style="1" customWidth="1"/>
    <col min="9748" max="9749" width="9" style="1" customWidth="1"/>
    <col min="9750" max="9750" width="2.33203125" style="1" customWidth="1"/>
    <col min="9751" max="9751" width="15.5" style="1" customWidth="1"/>
    <col min="9752" max="9752" width="8.5" style="1" customWidth="1"/>
    <col min="9753" max="9753" width="15" style="1" customWidth="1"/>
    <col min="9754" max="9758" width="8.83203125" style="1"/>
    <col min="9759" max="9759" width="17.1640625" style="1" customWidth="1"/>
    <col min="9760" max="9760" width="16" style="1" customWidth="1"/>
    <col min="9761" max="9761" width="9.6640625" style="1" customWidth="1"/>
    <col min="9762" max="9984" width="8.83203125" style="1"/>
    <col min="9985" max="9985" width="2.5" style="1" customWidth="1"/>
    <col min="9986" max="9986" width="2.33203125" style="1" customWidth="1"/>
    <col min="9987" max="9987" width="17.83203125" style="1" customWidth="1"/>
    <col min="9988" max="9988" width="10.5" style="1" customWidth="1"/>
    <col min="9989" max="9989" width="9" style="1" customWidth="1"/>
    <col min="9990" max="9990" width="8" style="1" customWidth="1"/>
    <col min="9991" max="9991" width="9" style="1" customWidth="1"/>
    <col min="9992" max="9992" width="8.33203125" style="1" customWidth="1"/>
    <col min="9993" max="9993" width="11.5" style="1" customWidth="1"/>
    <col min="9994" max="9994" width="8.5" style="1" customWidth="1"/>
    <col min="9995" max="9995" width="8" style="1" customWidth="1"/>
    <col min="9996" max="9996" width="7" style="1" customWidth="1"/>
    <col min="9997" max="9997" width="7.5" style="1" customWidth="1"/>
    <col min="9998" max="9998" width="8.1640625" style="1" customWidth="1"/>
    <col min="9999" max="9999" width="9" style="1" customWidth="1"/>
    <col min="10000" max="10002" width="8" style="1" customWidth="1"/>
    <col min="10003" max="10003" width="7.5" style="1" customWidth="1"/>
    <col min="10004" max="10005" width="9" style="1" customWidth="1"/>
    <col min="10006" max="10006" width="2.33203125" style="1" customWidth="1"/>
    <col min="10007" max="10007" width="15.5" style="1" customWidth="1"/>
    <col min="10008" max="10008" width="8.5" style="1" customWidth="1"/>
    <col min="10009" max="10009" width="15" style="1" customWidth="1"/>
    <col min="10010" max="10014" width="8.83203125" style="1"/>
    <col min="10015" max="10015" width="17.1640625" style="1" customWidth="1"/>
    <col min="10016" max="10016" width="16" style="1" customWidth="1"/>
    <col min="10017" max="10017" width="9.6640625" style="1" customWidth="1"/>
    <col min="10018" max="10240" width="8.83203125" style="1"/>
    <col min="10241" max="10241" width="2.5" style="1" customWidth="1"/>
    <col min="10242" max="10242" width="2.33203125" style="1" customWidth="1"/>
    <col min="10243" max="10243" width="17.83203125" style="1" customWidth="1"/>
    <col min="10244" max="10244" width="10.5" style="1" customWidth="1"/>
    <col min="10245" max="10245" width="9" style="1" customWidth="1"/>
    <col min="10246" max="10246" width="8" style="1" customWidth="1"/>
    <col min="10247" max="10247" width="9" style="1" customWidth="1"/>
    <col min="10248" max="10248" width="8.33203125" style="1" customWidth="1"/>
    <col min="10249" max="10249" width="11.5" style="1" customWidth="1"/>
    <col min="10250" max="10250" width="8.5" style="1" customWidth="1"/>
    <col min="10251" max="10251" width="8" style="1" customWidth="1"/>
    <col min="10252" max="10252" width="7" style="1" customWidth="1"/>
    <col min="10253" max="10253" width="7.5" style="1" customWidth="1"/>
    <col min="10254" max="10254" width="8.1640625" style="1" customWidth="1"/>
    <col min="10255" max="10255" width="9" style="1" customWidth="1"/>
    <col min="10256" max="10258" width="8" style="1" customWidth="1"/>
    <col min="10259" max="10259" width="7.5" style="1" customWidth="1"/>
    <col min="10260" max="10261" width="9" style="1" customWidth="1"/>
    <col min="10262" max="10262" width="2.33203125" style="1" customWidth="1"/>
    <col min="10263" max="10263" width="15.5" style="1" customWidth="1"/>
    <col min="10264" max="10264" width="8.5" style="1" customWidth="1"/>
    <col min="10265" max="10265" width="15" style="1" customWidth="1"/>
    <col min="10266" max="10270" width="8.83203125" style="1"/>
    <col min="10271" max="10271" width="17.1640625" style="1" customWidth="1"/>
    <col min="10272" max="10272" width="16" style="1" customWidth="1"/>
    <col min="10273" max="10273" width="9.6640625" style="1" customWidth="1"/>
    <col min="10274" max="10496" width="8.83203125" style="1"/>
    <col min="10497" max="10497" width="2.5" style="1" customWidth="1"/>
    <col min="10498" max="10498" width="2.33203125" style="1" customWidth="1"/>
    <col min="10499" max="10499" width="17.83203125" style="1" customWidth="1"/>
    <col min="10500" max="10500" width="10.5" style="1" customWidth="1"/>
    <col min="10501" max="10501" width="9" style="1" customWidth="1"/>
    <col min="10502" max="10502" width="8" style="1" customWidth="1"/>
    <col min="10503" max="10503" width="9" style="1" customWidth="1"/>
    <col min="10504" max="10504" width="8.33203125" style="1" customWidth="1"/>
    <col min="10505" max="10505" width="11.5" style="1" customWidth="1"/>
    <col min="10506" max="10506" width="8.5" style="1" customWidth="1"/>
    <col min="10507" max="10507" width="8" style="1" customWidth="1"/>
    <col min="10508" max="10508" width="7" style="1" customWidth="1"/>
    <col min="10509" max="10509" width="7.5" style="1" customWidth="1"/>
    <col min="10510" max="10510" width="8.1640625" style="1" customWidth="1"/>
    <col min="10511" max="10511" width="9" style="1" customWidth="1"/>
    <col min="10512" max="10514" width="8" style="1" customWidth="1"/>
    <col min="10515" max="10515" width="7.5" style="1" customWidth="1"/>
    <col min="10516" max="10517" width="9" style="1" customWidth="1"/>
    <col min="10518" max="10518" width="2.33203125" style="1" customWidth="1"/>
    <col min="10519" max="10519" width="15.5" style="1" customWidth="1"/>
    <col min="10520" max="10520" width="8.5" style="1" customWidth="1"/>
    <col min="10521" max="10521" width="15" style="1" customWidth="1"/>
    <col min="10522" max="10526" width="8.83203125" style="1"/>
    <col min="10527" max="10527" width="17.1640625" style="1" customWidth="1"/>
    <col min="10528" max="10528" width="16" style="1" customWidth="1"/>
    <col min="10529" max="10529" width="9.6640625" style="1" customWidth="1"/>
    <col min="10530" max="10752" width="8.83203125" style="1"/>
    <col min="10753" max="10753" width="2.5" style="1" customWidth="1"/>
    <col min="10754" max="10754" width="2.33203125" style="1" customWidth="1"/>
    <col min="10755" max="10755" width="17.83203125" style="1" customWidth="1"/>
    <col min="10756" max="10756" width="10.5" style="1" customWidth="1"/>
    <col min="10757" max="10757" width="9" style="1" customWidth="1"/>
    <col min="10758" max="10758" width="8" style="1" customWidth="1"/>
    <col min="10759" max="10759" width="9" style="1" customWidth="1"/>
    <col min="10760" max="10760" width="8.33203125" style="1" customWidth="1"/>
    <col min="10761" max="10761" width="11.5" style="1" customWidth="1"/>
    <col min="10762" max="10762" width="8.5" style="1" customWidth="1"/>
    <col min="10763" max="10763" width="8" style="1" customWidth="1"/>
    <col min="10764" max="10764" width="7" style="1" customWidth="1"/>
    <col min="10765" max="10765" width="7.5" style="1" customWidth="1"/>
    <col min="10766" max="10766" width="8.1640625" style="1" customWidth="1"/>
    <col min="10767" max="10767" width="9" style="1" customWidth="1"/>
    <col min="10768" max="10770" width="8" style="1" customWidth="1"/>
    <col min="10771" max="10771" width="7.5" style="1" customWidth="1"/>
    <col min="10772" max="10773" width="9" style="1" customWidth="1"/>
    <col min="10774" max="10774" width="2.33203125" style="1" customWidth="1"/>
    <col min="10775" max="10775" width="15.5" style="1" customWidth="1"/>
    <col min="10776" max="10776" width="8.5" style="1" customWidth="1"/>
    <col min="10777" max="10777" width="15" style="1" customWidth="1"/>
    <col min="10778" max="10782" width="8.83203125" style="1"/>
    <col min="10783" max="10783" width="17.1640625" style="1" customWidth="1"/>
    <col min="10784" max="10784" width="16" style="1" customWidth="1"/>
    <col min="10785" max="10785" width="9.6640625" style="1" customWidth="1"/>
    <col min="10786" max="11008" width="8.83203125" style="1"/>
    <col min="11009" max="11009" width="2.5" style="1" customWidth="1"/>
    <col min="11010" max="11010" width="2.33203125" style="1" customWidth="1"/>
    <col min="11011" max="11011" width="17.83203125" style="1" customWidth="1"/>
    <col min="11012" max="11012" width="10.5" style="1" customWidth="1"/>
    <col min="11013" max="11013" width="9" style="1" customWidth="1"/>
    <col min="11014" max="11014" width="8" style="1" customWidth="1"/>
    <col min="11015" max="11015" width="9" style="1" customWidth="1"/>
    <col min="11016" max="11016" width="8.33203125" style="1" customWidth="1"/>
    <col min="11017" max="11017" width="11.5" style="1" customWidth="1"/>
    <col min="11018" max="11018" width="8.5" style="1" customWidth="1"/>
    <col min="11019" max="11019" width="8" style="1" customWidth="1"/>
    <col min="11020" max="11020" width="7" style="1" customWidth="1"/>
    <col min="11021" max="11021" width="7.5" style="1" customWidth="1"/>
    <col min="11022" max="11022" width="8.1640625" style="1" customWidth="1"/>
    <col min="11023" max="11023" width="9" style="1" customWidth="1"/>
    <col min="11024" max="11026" width="8" style="1" customWidth="1"/>
    <col min="11027" max="11027" width="7.5" style="1" customWidth="1"/>
    <col min="11028" max="11029" width="9" style="1" customWidth="1"/>
    <col min="11030" max="11030" width="2.33203125" style="1" customWidth="1"/>
    <col min="11031" max="11031" width="15.5" style="1" customWidth="1"/>
    <col min="11032" max="11032" width="8.5" style="1" customWidth="1"/>
    <col min="11033" max="11033" width="15" style="1" customWidth="1"/>
    <col min="11034" max="11038" width="8.83203125" style="1"/>
    <col min="11039" max="11039" width="17.1640625" style="1" customWidth="1"/>
    <col min="11040" max="11040" width="16" style="1" customWidth="1"/>
    <col min="11041" max="11041" width="9.6640625" style="1" customWidth="1"/>
    <col min="11042" max="11264" width="8.83203125" style="1"/>
    <col min="11265" max="11265" width="2.5" style="1" customWidth="1"/>
    <col min="11266" max="11266" width="2.33203125" style="1" customWidth="1"/>
    <col min="11267" max="11267" width="17.83203125" style="1" customWidth="1"/>
    <col min="11268" max="11268" width="10.5" style="1" customWidth="1"/>
    <col min="11269" max="11269" width="9" style="1" customWidth="1"/>
    <col min="11270" max="11270" width="8" style="1" customWidth="1"/>
    <col min="11271" max="11271" width="9" style="1" customWidth="1"/>
    <col min="11272" max="11272" width="8.33203125" style="1" customWidth="1"/>
    <col min="11273" max="11273" width="11.5" style="1" customWidth="1"/>
    <col min="11274" max="11274" width="8.5" style="1" customWidth="1"/>
    <col min="11275" max="11275" width="8" style="1" customWidth="1"/>
    <col min="11276" max="11276" width="7" style="1" customWidth="1"/>
    <col min="11277" max="11277" width="7.5" style="1" customWidth="1"/>
    <col min="11278" max="11278" width="8.1640625" style="1" customWidth="1"/>
    <col min="11279" max="11279" width="9" style="1" customWidth="1"/>
    <col min="11280" max="11282" width="8" style="1" customWidth="1"/>
    <col min="11283" max="11283" width="7.5" style="1" customWidth="1"/>
    <col min="11284" max="11285" width="9" style="1" customWidth="1"/>
    <col min="11286" max="11286" width="2.33203125" style="1" customWidth="1"/>
    <col min="11287" max="11287" width="15.5" style="1" customWidth="1"/>
    <col min="11288" max="11288" width="8.5" style="1" customWidth="1"/>
    <col min="11289" max="11289" width="15" style="1" customWidth="1"/>
    <col min="11290" max="11294" width="8.83203125" style="1"/>
    <col min="11295" max="11295" width="17.1640625" style="1" customWidth="1"/>
    <col min="11296" max="11296" width="16" style="1" customWidth="1"/>
    <col min="11297" max="11297" width="9.6640625" style="1" customWidth="1"/>
    <col min="11298" max="11520" width="8.83203125" style="1"/>
    <col min="11521" max="11521" width="2.5" style="1" customWidth="1"/>
    <col min="11522" max="11522" width="2.33203125" style="1" customWidth="1"/>
    <col min="11523" max="11523" width="17.83203125" style="1" customWidth="1"/>
    <col min="11524" max="11524" width="10.5" style="1" customWidth="1"/>
    <col min="11525" max="11525" width="9" style="1" customWidth="1"/>
    <col min="11526" max="11526" width="8" style="1" customWidth="1"/>
    <col min="11527" max="11527" width="9" style="1" customWidth="1"/>
    <col min="11528" max="11528" width="8.33203125" style="1" customWidth="1"/>
    <col min="11529" max="11529" width="11.5" style="1" customWidth="1"/>
    <col min="11530" max="11530" width="8.5" style="1" customWidth="1"/>
    <col min="11531" max="11531" width="8" style="1" customWidth="1"/>
    <col min="11532" max="11532" width="7" style="1" customWidth="1"/>
    <col min="11533" max="11533" width="7.5" style="1" customWidth="1"/>
    <col min="11534" max="11534" width="8.1640625" style="1" customWidth="1"/>
    <col min="11535" max="11535" width="9" style="1" customWidth="1"/>
    <col min="11536" max="11538" width="8" style="1" customWidth="1"/>
    <col min="11539" max="11539" width="7.5" style="1" customWidth="1"/>
    <col min="11540" max="11541" width="9" style="1" customWidth="1"/>
    <col min="11542" max="11542" width="2.33203125" style="1" customWidth="1"/>
    <col min="11543" max="11543" width="15.5" style="1" customWidth="1"/>
    <col min="11544" max="11544" width="8.5" style="1" customWidth="1"/>
    <col min="11545" max="11545" width="15" style="1" customWidth="1"/>
    <col min="11546" max="11550" width="8.83203125" style="1"/>
    <col min="11551" max="11551" width="17.1640625" style="1" customWidth="1"/>
    <col min="11552" max="11552" width="16" style="1" customWidth="1"/>
    <col min="11553" max="11553" width="9.6640625" style="1" customWidth="1"/>
    <col min="11554" max="11776" width="8.83203125" style="1"/>
    <col min="11777" max="11777" width="2.5" style="1" customWidth="1"/>
    <col min="11778" max="11778" width="2.33203125" style="1" customWidth="1"/>
    <col min="11779" max="11779" width="17.83203125" style="1" customWidth="1"/>
    <col min="11780" max="11780" width="10.5" style="1" customWidth="1"/>
    <col min="11781" max="11781" width="9" style="1" customWidth="1"/>
    <col min="11782" max="11782" width="8" style="1" customWidth="1"/>
    <col min="11783" max="11783" width="9" style="1" customWidth="1"/>
    <col min="11784" max="11784" width="8.33203125" style="1" customWidth="1"/>
    <col min="11785" max="11785" width="11.5" style="1" customWidth="1"/>
    <col min="11786" max="11786" width="8.5" style="1" customWidth="1"/>
    <col min="11787" max="11787" width="8" style="1" customWidth="1"/>
    <col min="11788" max="11788" width="7" style="1" customWidth="1"/>
    <col min="11789" max="11789" width="7.5" style="1" customWidth="1"/>
    <col min="11790" max="11790" width="8.1640625" style="1" customWidth="1"/>
    <col min="11791" max="11791" width="9" style="1" customWidth="1"/>
    <col min="11792" max="11794" width="8" style="1" customWidth="1"/>
    <col min="11795" max="11795" width="7.5" style="1" customWidth="1"/>
    <col min="11796" max="11797" width="9" style="1" customWidth="1"/>
    <col min="11798" max="11798" width="2.33203125" style="1" customWidth="1"/>
    <col min="11799" max="11799" width="15.5" style="1" customWidth="1"/>
    <col min="11800" max="11800" width="8.5" style="1" customWidth="1"/>
    <col min="11801" max="11801" width="15" style="1" customWidth="1"/>
    <col min="11802" max="11806" width="8.83203125" style="1"/>
    <col min="11807" max="11807" width="17.1640625" style="1" customWidth="1"/>
    <col min="11808" max="11808" width="16" style="1" customWidth="1"/>
    <col min="11809" max="11809" width="9.6640625" style="1" customWidth="1"/>
    <col min="11810" max="12032" width="8.83203125" style="1"/>
    <col min="12033" max="12033" width="2.5" style="1" customWidth="1"/>
    <col min="12034" max="12034" width="2.33203125" style="1" customWidth="1"/>
    <col min="12035" max="12035" width="17.83203125" style="1" customWidth="1"/>
    <col min="12036" max="12036" width="10.5" style="1" customWidth="1"/>
    <col min="12037" max="12037" width="9" style="1" customWidth="1"/>
    <col min="12038" max="12038" width="8" style="1" customWidth="1"/>
    <col min="12039" max="12039" width="9" style="1" customWidth="1"/>
    <col min="12040" max="12040" width="8.33203125" style="1" customWidth="1"/>
    <col min="12041" max="12041" width="11.5" style="1" customWidth="1"/>
    <col min="12042" max="12042" width="8.5" style="1" customWidth="1"/>
    <col min="12043" max="12043" width="8" style="1" customWidth="1"/>
    <col min="12044" max="12044" width="7" style="1" customWidth="1"/>
    <col min="12045" max="12045" width="7.5" style="1" customWidth="1"/>
    <col min="12046" max="12046" width="8.1640625" style="1" customWidth="1"/>
    <col min="12047" max="12047" width="9" style="1" customWidth="1"/>
    <col min="12048" max="12050" width="8" style="1" customWidth="1"/>
    <col min="12051" max="12051" width="7.5" style="1" customWidth="1"/>
    <col min="12052" max="12053" width="9" style="1" customWidth="1"/>
    <col min="12054" max="12054" width="2.33203125" style="1" customWidth="1"/>
    <col min="12055" max="12055" width="15.5" style="1" customWidth="1"/>
    <col min="12056" max="12056" width="8.5" style="1" customWidth="1"/>
    <col min="12057" max="12057" width="15" style="1" customWidth="1"/>
    <col min="12058" max="12062" width="8.83203125" style="1"/>
    <col min="12063" max="12063" width="17.1640625" style="1" customWidth="1"/>
    <col min="12064" max="12064" width="16" style="1" customWidth="1"/>
    <col min="12065" max="12065" width="9.6640625" style="1" customWidth="1"/>
    <col min="12066" max="12288" width="8.83203125" style="1"/>
    <col min="12289" max="12289" width="2.5" style="1" customWidth="1"/>
    <col min="12290" max="12290" width="2.33203125" style="1" customWidth="1"/>
    <col min="12291" max="12291" width="17.83203125" style="1" customWidth="1"/>
    <col min="12292" max="12292" width="10.5" style="1" customWidth="1"/>
    <col min="12293" max="12293" width="9" style="1" customWidth="1"/>
    <col min="12294" max="12294" width="8" style="1" customWidth="1"/>
    <col min="12295" max="12295" width="9" style="1" customWidth="1"/>
    <col min="12296" max="12296" width="8.33203125" style="1" customWidth="1"/>
    <col min="12297" max="12297" width="11.5" style="1" customWidth="1"/>
    <col min="12298" max="12298" width="8.5" style="1" customWidth="1"/>
    <col min="12299" max="12299" width="8" style="1" customWidth="1"/>
    <col min="12300" max="12300" width="7" style="1" customWidth="1"/>
    <col min="12301" max="12301" width="7.5" style="1" customWidth="1"/>
    <col min="12302" max="12302" width="8.1640625" style="1" customWidth="1"/>
    <col min="12303" max="12303" width="9" style="1" customWidth="1"/>
    <col min="12304" max="12306" width="8" style="1" customWidth="1"/>
    <col min="12307" max="12307" width="7.5" style="1" customWidth="1"/>
    <col min="12308" max="12309" width="9" style="1" customWidth="1"/>
    <col min="12310" max="12310" width="2.33203125" style="1" customWidth="1"/>
    <col min="12311" max="12311" width="15.5" style="1" customWidth="1"/>
    <col min="12312" max="12312" width="8.5" style="1" customWidth="1"/>
    <col min="12313" max="12313" width="15" style="1" customWidth="1"/>
    <col min="12314" max="12318" width="8.83203125" style="1"/>
    <col min="12319" max="12319" width="17.1640625" style="1" customWidth="1"/>
    <col min="12320" max="12320" width="16" style="1" customWidth="1"/>
    <col min="12321" max="12321" width="9.6640625" style="1" customWidth="1"/>
    <col min="12322" max="12544" width="8.83203125" style="1"/>
    <col min="12545" max="12545" width="2.5" style="1" customWidth="1"/>
    <col min="12546" max="12546" width="2.33203125" style="1" customWidth="1"/>
    <col min="12547" max="12547" width="17.83203125" style="1" customWidth="1"/>
    <col min="12548" max="12548" width="10.5" style="1" customWidth="1"/>
    <col min="12549" max="12549" width="9" style="1" customWidth="1"/>
    <col min="12550" max="12550" width="8" style="1" customWidth="1"/>
    <col min="12551" max="12551" width="9" style="1" customWidth="1"/>
    <col min="12552" max="12552" width="8.33203125" style="1" customWidth="1"/>
    <col min="12553" max="12553" width="11.5" style="1" customWidth="1"/>
    <col min="12554" max="12554" width="8.5" style="1" customWidth="1"/>
    <col min="12555" max="12555" width="8" style="1" customWidth="1"/>
    <col min="12556" max="12556" width="7" style="1" customWidth="1"/>
    <col min="12557" max="12557" width="7.5" style="1" customWidth="1"/>
    <col min="12558" max="12558" width="8.1640625" style="1" customWidth="1"/>
    <col min="12559" max="12559" width="9" style="1" customWidth="1"/>
    <col min="12560" max="12562" width="8" style="1" customWidth="1"/>
    <col min="12563" max="12563" width="7.5" style="1" customWidth="1"/>
    <col min="12564" max="12565" width="9" style="1" customWidth="1"/>
    <col min="12566" max="12566" width="2.33203125" style="1" customWidth="1"/>
    <col min="12567" max="12567" width="15.5" style="1" customWidth="1"/>
    <col min="12568" max="12568" width="8.5" style="1" customWidth="1"/>
    <col min="12569" max="12569" width="15" style="1" customWidth="1"/>
    <col min="12570" max="12574" width="8.83203125" style="1"/>
    <col min="12575" max="12575" width="17.1640625" style="1" customWidth="1"/>
    <col min="12576" max="12576" width="16" style="1" customWidth="1"/>
    <col min="12577" max="12577" width="9.6640625" style="1" customWidth="1"/>
    <col min="12578" max="12800" width="8.83203125" style="1"/>
    <col min="12801" max="12801" width="2.5" style="1" customWidth="1"/>
    <col min="12802" max="12802" width="2.33203125" style="1" customWidth="1"/>
    <col min="12803" max="12803" width="17.83203125" style="1" customWidth="1"/>
    <col min="12804" max="12804" width="10.5" style="1" customWidth="1"/>
    <col min="12805" max="12805" width="9" style="1" customWidth="1"/>
    <col min="12806" max="12806" width="8" style="1" customWidth="1"/>
    <col min="12807" max="12807" width="9" style="1" customWidth="1"/>
    <col min="12808" max="12808" width="8.33203125" style="1" customWidth="1"/>
    <col min="12809" max="12809" width="11.5" style="1" customWidth="1"/>
    <col min="12810" max="12810" width="8.5" style="1" customWidth="1"/>
    <col min="12811" max="12811" width="8" style="1" customWidth="1"/>
    <col min="12812" max="12812" width="7" style="1" customWidth="1"/>
    <col min="12813" max="12813" width="7.5" style="1" customWidth="1"/>
    <col min="12814" max="12814" width="8.1640625" style="1" customWidth="1"/>
    <col min="12815" max="12815" width="9" style="1" customWidth="1"/>
    <col min="12816" max="12818" width="8" style="1" customWidth="1"/>
    <col min="12819" max="12819" width="7.5" style="1" customWidth="1"/>
    <col min="12820" max="12821" width="9" style="1" customWidth="1"/>
    <col min="12822" max="12822" width="2.33203125" style="1" customWidth="1"/>
    <col min="12823" max="12823" width="15.5" style="1" customWidth="1"/>
    <col min="12824" max="12824" width="8.5" style="1" customWidth="1"/>
    <col min="12825" max="12825" width="15" style="1" customWidth="1"/>
    <col min="12826" max="12830" width="8.83203125" style="1"/>
    <col min="12831" max="12831" width="17.1640625" style="1" customWidth="1"/>
    <col min="12832" max="12832" width="16" style="1" customWidth="1"/>
    <col min="12833" max="12833" width="9.6640625" style="1" customWidth="1"/>
    <col min="12834" max="13056" width="8.83203125" style="1"/>
    <col min="13057" max="13057" width="2.5" style="1" customWidth="1"/>
    <col min="13058" max="13058" width="2.33203125" style="1" customWidth="1"/>
    <col min="13059" max="13059" width="17.83203125" style="1" customWidth="1"/>
    <col min="13060" max="13060" width="10.5" style="1" customWidth="1"/>
    <col min="13061" max="13061" width="9" style="1" customWidth="1"/>
    <col min="13062" max="13062" width="8" style="1" customWidth="1"/>
    <col min="13063" max="13063" width="9" style="1" customWidth="1"/>
    <col min="13064" max="13064" width="8.33203125" style="1" customWidth="1"/>
    <col min="13065" max="13065" width="11.5" style="1" customWidth="1"/>
    <col min="13066" max="13066" width="8.5" style="1" customWidth="1"/>
    <col min="13067" max="13067" width="8" style="1" customWidth="1"/>
    <col min="13068" max="13068" width="7" style="1" customWidth="1"/>
    <col min="13069" max="13069" width="7.5" style="1" customWidth="1"/>
    <col min="13070" max="13070" width="8.1640625" style="1" customWidth="1"/>
    <col min="13071" max="13071" width="9" style="1" customWidth="1"/>
    <col min="13072" max="13074" width="8" style="1" customWidth="1"/>
    <col min="13075" max="13075" width="7.5" style="1" customWidth="1"/>
    <col min="13076" max="13077" width="9" style="1" customWidth="1"/>
    <col min="13078" max="13078" width="2.33203125" style="1" customWidth="1"/>
    <col min="13079" max="13079" width="15.5" style="1" customWidth="1"/>
    <col min="13080" max="13080" width="8.5" style="1" customWidth="1"/>
    <col min="13081" max="13081" width="15" style="1" customWidth="1"/>
    <col min="13082" max="13086" width="8.83203125" style="1"/>
    <col min="13087" max="13087" width="17.1640625" style="1" customWidth="1"/>
    <col min="13088" max="13088" width="16" style="1" customWidth="1"/>
    <col min="13089" max="13089" width="9.6640625" style="1" customWidth="1"/>
    <col min="13090" max="13312" width="8.83203125" style="1"/>
    <col min="13313" max="13313" width="2.5" style="1" customWidth="1"/>
    <col min="13314" max="13314" width="2.33203125" style="1" customWidth="1"/>
    <col min="13315" max="13315" width="17.83203125" style="1" customWidth="1"/>
    <col min="13316" max="13316" width="10.5" style="1" customWidth="1"/>
    <col min="13317" max="13317" width="9" style="1" customWidth="1"/>
    <col min="13318" max="13318" width="8" style="1" customWidth="1"/>
    <col min="13319" max="13319" width="9" style="1" customWidth="1"/>
    <col min="13320" max="13320" width="8.33203125" style="1" customWidth="1"/>
    <col min="13321" max="13321" width="11.5" style="1" customWidth="1"/>
    <col min="13322" max="13322" width="8.5" style="1" customWidth="1"/>
    <col min="13323" max="13323" width="8" style="1" customWidth="1"/>
    <col min="13324" max="13324" width="7" style="1" customWidth="1"/>
    <col min="13325" max="13325" width="7.5" style="1" customWidth="1"/>
    <col min="13326" max="13326" width="8.1640625" style="1" customWidth="1"/>
    <col min="13327" max="13327" width="9" style="1" customWidth="1"/>
    <col min="13328" max="13330" width="8" style="1" customWidth="1"/>
    <col min="13331" max="13331" width="7.5" style="1" customWidth="1"/>
    <col min="13332" max="13333" width="9" style="1" customWidth="1"/>
    <col min="13334" max="13334" width="2.33203125" style="1" customWidth="1"/>
    <col min="13335" max="13335" width="15.5" style="1" customWidth="1"/>
    <col min="13336" max="13336" width="8.5" style="1" customWidth="1"/>
    <col min="13337" max="13337" width="15" style="1" customWidth="1"/>
    <col min="13338" max="13342" width="8.83203125" style="1"/>
    <col min="13343" max="13343" width="17.1640625" style="1" customWidth="1"/>
    <col min="13344" max="13344" width="16" style="1" customWidth="1"/>
    <col min="13345" max="13345" width="9.6640625" style="1" customWidth="1"/>
    <col min="13346" max="13568" width="8.83203125" style="1"/>
    <col min="13569" max="13569" width="2.5" style="1" customWidth="1"/>
    <col min="13570" max="13570" width="2.33203125" style="1" customWidth="1"/>
    <col min="13571" max="13571" width="17.83203125" style="1" customWidth="1"/>
    <col min="13572" max="13572" width="10.5" style="1" customWidth="1"/>
    <col min="13573" max="13573" width="9" style="1" customWidth="1"/>
    <col min="13574" max="13574" width="8" style="1" customWidth="1"/>
    <col min="13575" max="13575" width="9" style="1" customWidth="1"/>
    <col min="13576" max="13576" width="8.33203125" style="1" customWidth="1"/>
    <col min="13577" max="13577" width="11.5" style="1" customWidth="1"/>
    <col min="13578" max="13578" width="8.5" style="1" customWidth="1"/>
    <col min="13579" max="13579" width="8" style="1" customWidth="1"/>
    <col min="13580" max="13580" width="7" style="1" customWidth="1"/>
    <col min="13581" max="13581" width="7.5" style="1" customWidth="1"/>
    <col min="13582" max="13582" width="8.1640625" style="1" customWidth="1"/>
    <col min="13583" max="13583" width="9" style="1" customWidth="1"/>
    <col min="13584" max="13586" width="8" style="1" customWidth="1"/>
    <col min="13587" max="13587" width="7.5" style="1" customWidth="1"/>
    <col min="13588" max="13589" width="9" style="1" customWidth="1"/>
    <col min="13590" max="13590" width="2.33203125" style="1" customWidth="1"/>
    <col min="13591" max="13591" width="15.5" style="1" customWidth="1"/>
    <col min="13592" max="13592" width="8.5" style="1" customWidth="1"/>
    <col min="13593" max="13593" width="15" style="1" customWidth="1"/>
    <col min="13594" max="13598" width="8.83203125" style="1"/>
    <col min="13599" max="13599" width="17.1640625" style="1" customWidth="1"/>
    <col min="13600" max="13600" width="16" style="1" customWidth="1"/>
    <col min="13601" max="13601" width="9.6640625" style="1" customWidth="1"/>
    <col min="13602" max="13824" width="8.83203125" style="1"/>
    <col min="13825" max="13825" width="2.5" style="1" customWidth="1"/>
    <col min="13826" max="13826" width="2.33203125" style="1" customWidth="1"/>
    <col min="13827" max="13827" width="17.83203125" style="1" customWidth="1"/>
    <col min="13828" max="13828" width="10.5" style="1" customWidth="1"/>
    <col min="13829" max="13829" width="9" style="1" customWidth="1"/>
    <col min="13830" max="13830" width="8" style="1" customWidth="1"/>
    <col min="13831" max="13831" width="9" style="1" customWidth="1"/>
    <col min="13832" max="13832" width="8.33203125" style="1" customWidth="1"/>
    <col min="13833" max="13833" width="11.5" style="1" customWidth="1"/>
    <col min="13834" max="13834" width="8.5" style="1" customWidth="1"/>
    <col min="13835" max="13835" width="8" style="1" customWidth="1"/>
    <col min="13836" max="13836" width="7" style="1" customWidth="1"/>
    <col min="13837" max="13837" width="7.5" style="1" customWidth="1"/>
    <col min="13838" max="13838" width="8.1640625" style="1" customWidth="1"/>
    <col min="13839" max="13839" width="9" style="1" customWidth="1"/>
    <col min="13840" max="13842" width="8" style="1" customWidth="1"/>
    <col min="13843" max="13843" width="7.5" style="1" customWidth="1"/>
    <col min="13844" max="13845" width="9" style="1" customWidth="1"/>
    <col min="13846" max="13846" width="2.33203125" style="1" customWidth="1"/>
    <col min="13847" max="13847" width="15.5" style="1" customWidth="1"/>
    <col min="13848" max="13848" width="8.5" style="1" customWidth="1"/>
    <col min="13849" max="13849" width="15" style="1" customWidth="1"/>
    <col min="13850" max="13854" width="8.83203125" style="1"/>
    <col min="13855" max="13855" width="17.1640625" style="1" customWidth="1"/>
    <col min="13856" max="13856" width="16" style="1" customWidth="1"/>
    <col min="13857" max="13857" width="9.6640625" style="1" customWidth="1"/>
    <col min="13858" max="14080" width="8.83203125" style="1"/>
    <col min="14081" max="14081" width="2.5" style="1" customWidth="1"/>
    <col min="14082" max="14082" width="2.33203125" style="1" customWidth="1"/>
    <col min="14083" max="14083" width="17.83203125" style="1" customWidth="1"/>
    <col min="14084" max="14084" width="10.5" style="1" customWidth="1"/>
    <col min="14085" max="14085" width="9" style="1" customWidth="1"/>
    <col min="14086" max="14086" width="8" style="1" customWidth="1"/>
    <col min="14087" max="14087" width="9" style="1" customWidth="1"/>
    <col min="14088" max="14088" width="8.33203125" style="1" customWidth="1"/>
    <col min="14089" max="14089" width="11.5" style="1" customWidth="1"/>
    <col min="14090" max="14090" width="8.5" style="1" customWidth="1"/>
    <col min="14091" max="14091" width="8" style="1" customWidth="1"/>
    <col min="14092" max="14092" width="7" style="1" customWidth="1"/>
    <col min="14093" max="14093" width="7.5" style="1" customWidth="1"/>
    <col min="14094" max="14094" width="8.1640625" style="1" customWidth="1"/>
    <col min="14095" max="14095" width="9" style="1" customWidth="1"/>
    <col min="14096" max="14098" width="8" style="1" customWidth="1"/>
    <col min="14099" max="14099" width="7.5" style="1" customWidth="1"/>
    <col min="14100" max="14101" width="9" style="1" customWidth="1"/>
    <col min="14102" max="14102" width="2.33203125" style="1" customWidth="1"/>
    <col min="14103" max="14103" width="15.5" style="1" customWidth="1"/>
    <col min="14104" max="14104" width="8.5" style="1" customWidth="1"/>
    <col min="14105" max="14105" width="15" style="1" customWidth="1"/>
    <col min="14106" max="14110" width="8.83203125" style="1"/>
    <col min="14111" max="14111" width="17.1640625" style="1" customWidth="1"/>
    <col min="14112" max="14112" width="16" style="1" customWidth="1"/>
    <col min="14113" max="14113" width="9.6640625" style="1" customWidth="1"/>
    <col min="14114" max="14336" width="8.83203125" style="1"/>
    <col min="14337" max="14337" width="2.5" style="1" customWidth="1"/>
    <col min="14338" max="14338" width="2.33203125" style="1" customWidth="1"/>
    <col min="14339" max="14339" width="17.83203125" style="1" customWidth="1"/>
    <col min="14340" max="14340" width="10.5" style="1" customWidth="1"/>
    <col min="14341" max="14341" width="9" style="1" customWidth="1"/>
    <col min="14342" max="14342" width="8" style="1" customWidth="1"/>
    <col min="14343" max="14343" width="9" style="1" customWidth="1"/>
    <col min="14344" max="14344" width="8.33203125" style="1" customWidth="1"/>
    <col min="14345" max="14345" width="11.5" style="1" customWidth="1"/>
    <col min="14346" max="14346" width="8.5" style="1" customWidth="1"/>
    <col min="14347" max="14347" width="8" style="1" customWidth="1"/>
    <col min="14348" max="14348" width="7" style="1" customWidth="1"/>
    <col min="14349" max="14349" width="7.5" style="1" customWidth="1"/>
    <col min="14350" max="14350" width="8.1640625" style="1" customWidth="1"/>
    <col min="14351" max="14351" width="9" style="1" customWidth="1"/>
    <col min="14352" max="14354" width="8" style="1" customWidth="1"/>
    <col min="14355" max="14355" width="7.5" style="1" customWidth="1"/>
    <col min="14356" max="14357" width="9" style="1" customWidth="1"/>
    <col min="14358" max="14358" width="2.33203125" style="1" customWidth="1"/>
    <col min="14359" max="14359" width="15.5" style="1" customWidth="1"/>
    <col min="14360" max="14360" width="8.5" style="1" customWidth="1"/>
    <col min="14361" max="14361" width="15" style="1" customWidth="1"/>
    <col min="14362" max="14366" width="8.83203125" style="1"/>
    <col min="14367" max="14367" width="17.1640625" style="1" customWidth="1"/>
    <col min="14368" max="14368" width="16" style="1" customWidth="1"/>
    <col min="14369" max="14369" width="9.6640625" style="1" customWidth="1"/>
    <col min="14370" max="14592" width="8.83203125" style="1"/>
    <col min="14593" max="14593" width="2.5" style="1" customWidth="1"/>
    <col min="14594" max="14594" width="2.33203125" style="1" customWidth="1"/>
    <col min="14595" max="14595" width="17.83203125" style="1" customWidth="1"/>
    <col min="14596" max="14596" width="10.5" style="1" customWidth="1"/>
    <col min="14597" max="14597" width="9" style="1" customWidth="1"/>
    <col min="14598" max="14598" width="8" style="1" customWidth="1"/>
    <col min="14599" max="14599" width="9" style="1" customWidth="1"/>
    <col min="14600" max="14600" width="8.33203125" style="1" customWidth="1"/>
    <col min="14601" max="14601" width="11.5" style="1" customWidth="1"/>
    <col min="14602" max="14602" width="8.5" style="1" customWidth="1"/>
    <col min="14603" max="14603" width="8" style="1" customWidth="1"/>
    <col min="14604" max="14604" width="7" style="1" customWidth="1"/>
    <col min="14605" max="14605" width="7.5" style="1" customWidth="1"/>
    <col min="14606" max="14606" width="8.1640625" style="1" customWidth="1"/>
    <col min="14607" max="14607" width="9" style="1" customWidth="1"/>
    <col min="14608" max="14610" width="8" style="1" customWidth="1"/>
    <col min="14611" max="14611" width="7.5" style="1" customWidth="1"/>
    <col min="14612" max="14613" width="9" style="1" customWidth="1"/>
    <col min="14614" max="14614" width="2.33203125" style="1" customWidth="1"/>
    <col min="14615" max="14615" width="15.5" style="1" customWidth="1"/>
    <col min="14616" max="14616" width="8.5" style="1" customWidth="1"/>
    <col min="14617" max="14617" width="15" style="1" customWidth="1"/>
    <col min="14618" max="14622" width="8.83203125" style="1"/>
    <col min="14623" max="14623" width="17.1640625" style="1" customWidth="1"/>
    <col min="14624" max="14624" width="16" style="1" customWidth="1"/>
    <col min="14625" max="14625" width="9.6640625" style="1" customWidth="1"/>
    <col min="14626" max="14848" width="8.83203125" style="1"/>
    <col min="14849" max="14849" width="2.5" style="1" customWidth="1"/>
    <col min="14850" max="14850" width="2.33203125" style="1" customWidth="1"/>
    <col min="14851" max="14851" width="17.83203125" style="1" customWidth="1"/>
    <col min="14852" max="14852" width="10.5" style="1" customWidth="1"/>
    <col min="14853" max="14853" width="9" style="1" customWidth="1"/>
    <col min="14854" max="14854" width="8" style="1" customWidth="1"/>
    <col min="14855" max="14855" width="9" style="1" customWidth="1"/>
    <col min="14856" max="14856" width="8.33203125" style="1" customWidth="1"/>
    <col min="14857" max="14857" width="11.5" style="1" customWidth="1"/>
    <col min="14858" max="14858" width="8.5" style="1" customWidth="1"/>
    <col min="14859" max="14859" width="8" style="1" customWidth="1"/>
    <col min="14860" max="14860" width="7" style="1" customWidth="1"/>
    <col min="14861" max="14861" width="7.5" style="1" customWidth="1"/>
    <col min="14862" max="14862" width="8.1640625" style="1" customWidth="1"/>
    <col min="14863" max="14863" width="9" style="1" customWidth="1"/>
    <col min="14864" max="14866" width="8" style="1" customWidth="1"/>
    <col min="14867" max="14867" width="7.5" style="1" customWidth="1"/>
    <col min="14868" max="14869" width="9" style="1" customWidth="1"/>
    <col min="14870" max="14870" width="2.33203125" style="1" customWidth="1"/>
    <col min="14871" max="14871" width="15.5" style="1" customWidth="1"/>
    <col min="14872" max="14872" width="8.5" style="1" customWidth="1"/>
    <col min="14873" max="14873" width="15" style="1" customWidth="1"/>
    <col min="14874" max="14878" width="8.83203125" style="1"/>
    <col min="14879" max="14879" width="17.1640625" style="1" customWidth="1"/>
    <col min="14880" max="14880" width="16" style="1" customWidth="1"/>
    <col min="14881" max="14881" width="9.6640625" style="1" customWidth="1"/>
    <col min="14882" max="15104" width="8.83203125" style="1"/>
    <col min="15105" max="15105" width="2.5" style="1" customWidth="1"/>
    <col min="15106" max="15106" width="2.33203125" style="1" customWidth="1"/>
    <col min="15107" max="15107" width="17.83203125" style="1" customWidth="1"/>
    <col min="15108" max="15108" width="10.5" style="1" customWidth="1"/>
    <col min="15109" max="15109" width="9" style="1" customWidth="1"/>
    <col min="15110" max="15110" width="8" style="1" customWidth="1"/>
    <col min="15111" max="15111" width="9" style="1" customWidth="1"/>
    <col min="15112" max="15112" width="8.33203125" style="1" customWidth="1"/>
    <col min="15113" max="15113" width="11.5" style="1" customWidth="1"/>
    <col min="15114" max="15114" width="8.5" style="1" customWidth="1"/>
    <col min="15115" max="15115" width="8" style="1" customWidth="1"/>
    <col min="15116" max="15116" width="7" style="1" customWidth="1"/>
    <col min="15117" max="15117" width="7.5" style="1" customWidth="1"/>
    <col min="15118" max="15118" width="8.1640625" style="1" customWidth="1"/>
    <col min="15119" max="15119" width="9" style="1" customWidth="1"/>
    <col min="15120" max="15122" width="8" style="1" customWidth="1"/>
    <col min="15123" max="15123" width="7.5" style="1" customWidth="1"/>
    <col min="15124" max="15125" width="9" style="1" customWidth="1"/>
    <col min="15126" max="15126" width="2.33203125" style="1" customWidth="1"/>
    <col min="15127" max="15127" width="15.5" style="1" customWidth="1"/>
    <col min="15128" max="15128" width="8.5" style="1" customWidth="1"/>
    <col min="15129" max="15129" width="15" style="1" customWidth="1"/>
    <col min="15130" max="15134" width="8.83203125" style="1"/>
    <col min="15135" max="15135" width="17.1640625" style="1" customWidth="1"/>
    <col min="15136" max="15136" width="16" style="1" customWidth="1"/>
    <col min="15137" max="15137" width="9.6640625" style="1" customWidth="1"/>
    <col min="15138" max="15360" width="8.83203125" style="1"/>
    <col min="15361" max="15361" width="2.5" style="1" customWidth="1"/>
    <col min="15362" max="15362" width="2.33203125" style="1" customWidth="1"/>
    <col min="15363" max="15363" width="17.83203125" style="1" customWidth="1"/>
    <col min="15364" max="15364" width="10.5" style="1" customWidth="1"/>
    <col min="15365" max="15365" width="9" style="1" customWidth="1"/>
    <col min="15366" max="15366" width="8" style="1" customWidth="1"/>
    <col min="15367" max="15367" width="9" style="1" customWidth="1"/>
    <col min="15368" max="15368" width="8.33203125" style="1" customWidth="1"/>
    <col min="15369" max="15369" width="11.5" style="1" customWidth="1"/>
    <col min="15370" max="15370" width="8.5" style="1" customWidth="1"/>
    <col min="15371" max="15371" width="8" style="1" customWidth="1"/>
    <col min="15372" max="15372" width="7" style="1" customWidth="1"/>
    <col min="15373" max="15373" width="7.5" style="1" customWidth="1"/>
    <col min="15374" max="15374" width="8.1640625" style="1" customWidth="1"/>
    <col min="15375" max="15375" width="9" style="1" customWidth="1"/>
    <col min="15376" max="15378" width="8" style="1" customWidth="1"/>
    <col min="15379" max="15379" width="7.5" style="1" customWidth="1"/>
    <col min="15380" max="15381" width="9" style="1" customWidth="1"/>
    <col min="15382" max="15382" width="2.33203125" style="1" customWidth="1"/>
    <col min="15383" max="15383" width="15.5" style="1" customWidth="1"/>
    <col min="15384" max="15384" width="8.5" style="1" customWidth="1"/>
    <col min="15385" max="15385" width="15" style="1" customWidth="1"/>
    <col min="15386" max="15390" width="8.83203125" style="1"/>
    <col min="15391" max="15391" width="17.1640625" style="1" customWidth="1"/>
    <col min="15392" max="15392" width="16" style="1" customWidth="1"/>
    <col min="15393" max="15393" width="9.6640625" style="1" customWidth="1"/>
    <col min="15394" max="15616" width="8.83203125" style="1"/>
    <col min="15617" max="15617" width="2.5" style="1" customWidth="1"/>
    <col min="15618" max="15618" width="2.33203125" style="1" customWidth="1"/>
    <col min="15619" max="15619" width="17.83203125" style="1" customWidth="1"/>
    <col min="15620" max="15620" width="10.5" style="1" customWidth="1"/>
    <col min="15621" max="15621" width="9" style="1" customWidth="1"/>
    <col min="15622" max="15622" width="8" style="1" customWidth="1"/>
    <col min="15623" max="15623" width="9" style="1" customWidth="1"/>
    <col min="15624" max="15624" width="8.33203125" style="1" customWidth="1"/>
    <col min="15625" max="15625" width="11.5" style="1" customWidth="1"/>
    <col min="15626" max="15626" width="8.5" style="1" customWidth="1"/>
    <col min="15627" max="15627" width="8" style="1" customWidth="1"/>
    <col min="15628" max="15628" width="7" style="1" customWidth="1"/>
    <col min="15629" max="15629" width="7.5" style="1" customWidth="1"/>
    <col min="15630" max="15630" width="8.1640625" style="1" customWidth="1"/>
    <col min="15631" max="15631" width="9" style="1" customWidth="1"/>
    <col min="15632" max="15634" width="8" style="1" customWidth="1"/>
    <col min="15635" max="15635" width="7.5" style="1" customWidth="1"/>
    <col min="15636" max="15637" width="9" style="1" customWidth="1"/>
    <col min="15638" max="15638" width="2.33203125" style="1" customWidth="1"/>
    <col min="15639" max="15639" width="15.5" style="1" customWidth="1"/>
    <col min="15640" max="15640" width="8.5" style="1" customWidth="1"/>
    <col min="15641" max="15641" width="15" style="1" customWidth="1"/>
    <col min="15642" max="15646" width="8.83203125" style="1"/>
    <col min="15647" max="15647" width="17.1640625" style="1" customWidth="1"/>
    <col min="15648" max="15648" width="16" style="1" customWidth="1"/>
    <col min="15649" max="15649" width="9.6640625" style="1" customWidth="1"/>
    <col min="15650" max="15872" width="8.83203125" style="1"/>
    <col min="15873" max="15873" width="2.5" style="1" customWidth="1"/>
    <col min="15874" max="15874" width="2.33203125" style="1" customWidth="1"/>
    <col min="15875" max="15875" width="17.83203125" style="1" customWidth="1"/>
    <col min="15876" max="15876" width="10.5" style="1" customWidth="1"/>
    <col min="15877" max="15877" width="9" style="1" customWidth="1"/>
    <col min="15878" max="15878" width="8" style="1" customWidth="1"/>
    <col min="15879" max="15879" width="9" style="1" customWidth="1"/>
    <col min="15880" max="15880" width="8.33203125" style="1" customWidth="1"/>
    <col min="15881" max="15881" width="11.5" style="1" customWidth="1"/>
    <col min="15882" max="15882" width="8.5" style="1" customWidth="1"/>
    <col min="15883" max="15883" width="8" style="1" customWidth="1"/>
    <col min="15884" max="15884" width="7" style="1" customWidth="1"/>
    <col min="15885" max="15885" width="7.5" style="1" customWidth="1"/>
    <col min="15886" max="15886" width="8.1640625" style="1" customWidth="1"/>
    <col min="15887" max="15887" width="9" style="1" customWidth="1"/>
    <col min="15888" max="15890" width="8" style="1" customWidth="1"/>
    <col min="15891" max="15891" width="7.5" style="1" customWidth="1"/>
    <col min="15892" max="15893" width="9" style="1" customWidth="1"/>
    <col min="15894" max="15894" width="2.33203125" style="1" customWidth="1"/>
    <col min="15895" max="15895" width="15.5" style="1" customWidth="1"/>
    <col min="15896" max="15896" width="8.5" style="1" customWidth="1"/>
    <col min="15897" max="15897" width="15" style="1" customWidth="1"/>
    <col min="15898" max="15902" width="8.83203125" style="1"/>
    <col min="15903" max="15903" width="17.1640625" style="1" customWidth="1"/>
    <col min="15904" max="15904" width="16" style="1" customWidth="1"/>
    <col min="15905" max="15905" width="9.6640625" style="1" customWidth="1"/>
    <col min="15906" max="16128" width="8.83203125" style="1"/>
    <col min="16129" max="16129" width="2.5" style="1" customWidth="1"/>
    <col min="16130" max="16130" width="2.33203125" style="1" customWidth="1"/>
    <col min="16131" max="16131" width="17.83203125" style="1" customWidth="1"/>
    <col min="16132" max="16132" width="10.5" style="1" customWidth="1"/>
    <col min="16133" max="16133" width="9" style="1" customWidth="1"/>
    <col min="16134" max="16134" width="8" style="1" customWidth="1"/>
    <col min="16135" max="16135" width="9" style="1" customWidth="1"/>
    <col min="16136" max="16136" width="8.33203125" style="1" customWidth="1"/>
    <col min="16137" max="16137" width="11.5" style="1" customWidth="1"/>
    <col min="16138" max="16138" width="8.5" style="1" customWidth="1"/>
    <col min="16139" max="16139" width="8" style="1" customWidth="1"/>
    <col min="16140" max="16140" width="7" style="1" customWidth="1"/>
    <col min="16141" max="16141" width="7.5" style="1" customWidth="1"/>
    <col min="16142" max="16142" width="8.1640625" style="1" customWidth="1"/>
    <col min="16143" max="16143" width="9" style="1" customWidth="1"/>
    <col min="16144" max="16146" width="8" style="1" customWidth="1"/>
    <col min="16147" max="16147" width="7.5" style="1" customWidth="1"/>
    <col min="16148" max="16149" width="9" style="1" customWidth="1"/>
    <col min="16150" max="16150" width="2.33203125" style="1" customWidth="1"/>
    <col min="16151" max="16151" width="15.5" style="1" customWidth="1"/>
    <col min="16152" max="16152" width="8.5" style="1" customWidth="1"/>
    <col min="16153" max="16153" width="15" style="1" customWidth="1"/>
    <col min="16154" max="16158" width="8.83203125" style="1"/>
    <col min="16159" max="16159" width="17.1640625" style="1" customWidth="1"/>
    <col min="16160" max="16160" width="16" style="1" customWidth="1"/>
    <col min="16161" max="16161" width="9.6640625" style="1" customWidth="1"/>
    <col min="16162" max="16384" width="8.83203125" style="1"/>
  </cols>
  <sheetData>
    <row r="2" spans="1:34" ht="15" x14ac:dyDescent="0.15">
      <c r="C2" s="208"/>
      <c r="D2" s="209"/>
    </row>
    <row r="3" spans="1:34" ht="14" thickBot="1" x14ac:dyDescent="0.2">
      <c r="B3" s="184">
        <v>2.5</v>
      </c>
      <c r="C3" s="9">
        <v>26</v>
      </c>
      <c r="D3" s="9">
        <v>11</v>
      </c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4">
        <v>2.5</v>
      </c>
      <c r="W3" s="9"/>
      <c r="X3" s="9"/>
      <c r="Y3" s="184"/>
    </row>
    <row r="4" spans="1:34" ht="10" customHeight="1" x14ac:dyDescent="0.15">
      <c r="B4" s="69"/>
      <c r="C4" s="79"/>
      <c r="D4" s="80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2"/>
    </row>
    <row r="5" spans="1:34" ht="10" customHeight="1" x14ac:dyDescent="0.15">
      <c r="B5" s="140"/>
      <c r="C5" s="83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254" t="s">
        <v>461</v>
      </c>
      <c r="V5" s="75"/>
    </row>
    <row r="6" spans="1:34" ht="10" customHeight="1" x14ac:dyDescent="0.15">
      <c r="B6" s="140"/>
      <c r="C6" s="83"/>
      <c r="D6" s="85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75"/>
    </row>
    <row r="7" spans="1:34" ht="11.5" customHeight="1" x14ac:dyDescent="0.15">
      <c r="B7" s="140"/>
      <c r="C7" s="83"/>
      <c r="D7" s="77" t="s">
        <v>458</v>
      </c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7"/>
      <c r="V7" s="75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</row>
    <row r="8" spans="1:34" ht="11.5" customHeight="1" x14ac:dyDescent="0.15">
      <c r="A8" s="144"/>
      <c r="B8" s="140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75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</row>
    <row r="9" spans="1:34" ht="15" customHeight="1" thickBot="1" x14ac:dyDescent="0.2">
      <c r="B9" s="144"/>
      <c r="C9" s="210" t="s">
        <v>399</v>
      </c>
      <c r="D9" s="211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3" t="s">
        <v>391</v>
      </c>
      <c r="V9" s="22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</row>
    <row r="10" spans="1:34" ht="14" customHeight="1" thickBot="1" x14ac:dyDescent="0.2">
      <c r="B10" s="144"/>
      <c r="C10" s="482" t="s">
        <v>392</v>
      </c>
      <c r="D10" s="482" t="s">
        <v>68</v>
      </c>
      <c r="E10" s="482" t="s">
        <v>363</v>
      </c>
      <c r="F10" s="482" t="s">
        <v>374</v>
      </c>
      <c r="G10" s="482" t="s">
        <v>0</v>
      </c>
      <c r="H10" s="484" t="s">
        <v>7</v>
      </c>
      <c r="I10" s="484"/>
      <c r="J10" s="484"/>
      <c r="K10" s="484"/>
      <c r="L10" s="484"/>
      <c r="M10" s="484"/>
      <c r="N10" s="484"/>
      <c r="O10" s="482" t="s">
        <v>66</v>
      </c>
      <c r="P10" s="482" t="s">
        <v>40</v>
      </c>
      <c r="Q10" s="482" t="s">
        <v>360</v>
      </c>
      <c r="R10" s="482" t="s">
        <v>361</v>
      </c>
      <c r="S10" s="482" t="s">
        <v>362</v>
      </c>
      <c r="T10" s="482" t="s">
        <v>44</v>
      </c>
      <c r="U10" s="482" t="s">
        <v>46</v>
      </c>
      <c r="V10" s="22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</row>
    <row r="11" spans="1:34" ht="32" customHeight="1" thickBot="1" x14ac:dyDescent="0.2">
      <c r="B11" s="144"/>
      <c r="C11" s="483"/>
      <c r="D11" s="483"/>
      <c r="E11" s="483"/>
      <c r="F11" s="483"/>
      <c r="G11" s="483"/>
      <c r="H11" s="214" t="s">
        <v>393</v>
      </c>
      <c r="I11" s="214" t="s">
        <v>2</v>
      </c>
      <c r="J11" s="214" t="s">
        <v>3</v>
      </c>
      <c r="K11" s="214" t="s">
        <v>4</v>
      </c>
      <c r="L11" s="214" t="s">
        <v>5</v>
      </c>
      <c r="M11" s="214" t="s">
        <v>67</v>
      </c>
      <c r="N11" s="214" t="s">
        <v>6</v>
      </c>
      <c r="O11" s="483"/>
      <c r="P11" s="483"/>
      <c r="Q11" s="483"/>
      <c r="R11" s="483"/>
      <c r="S11" s="483"/>
      <c r="T11" s="483"/>
      <c r="U11" s="483"/>
      <c r="V11" s="22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</row>
    <row r="12" spans="1:34" ht="14.5" customHeight="1" x14ac:dyDescent="0.15">
      <c r="B12" s="144"/>
      <c r="C12" s="299" t="s">
        <v>380</v>
      </c>
      <c r="D12" s="216">
        <v>2033457</v>
      </c>
      <c r="E12" s="217">
        <v>617.39654356000005</v>
      </c>
      <c r="F12" s="217">
        <v>12509.599177619999</v>
      </c>
      <c r="G12" s="217">
        <v>70907.36407276</v>
      </c>
      <c r="H12" s="217">
        <v>598.54826285000001</v>
      </c>
      <c r="I12" s="217">
        <v>419.70516683999995</v>
      </c>
      <c r="J12" s="217">
        <v>74.066736910000003</v>
      </c>
      <c r="K12" s="217">
        <v>876.26216075000002</v>
      </c>
      <c r="L12" s="217">
        <v>0.10363298</v>
      </c>
      <c r="M12" s="217">
        <v>274.16187832000003</v>
      </c>
      <c r="N12" s="217">
        <v>72.264824150000095</v>
      </c>
      <c r="O12" s="217">
        <v>463.63343310999994</v>
      </c>
      <c r="P12" s="217">
        <v>39.531127499999997</v>
      </c>
      <c r="Q12" s="217">
        <v>196.28568967000001</v>
      </c>
      <c r="R12" s="217">
        <v>3.8025710699999999</v>
      </c>
      <c r="S12" s="217">
        <v>161.25179805000002</v>
      </c>
      <c r="T12" s="217">
        <v>427486.78929186001</v>
      </c>
      <c r="U12" s="217">
        <v>31302.037614750003</v>
      </c>
      <c r="V12" s="88">
        <v>0</v>
      </c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</row>
    <row r="13" spans="1:34" ht="14.5" customHeight="1" x14ac:dyDescent="0.15">
      <c r="B13" s="144"/>
      <c r="C13" s="300" t="s">
        <v>381</v>
      </c>
      <c r="D13" s="221">
        <v>992943</v>
      </c>
      <c r="E13" s="222">
        <v>7311.5457720700006</v>
      </c>
      <c r="F13" s="222">
        <v>3538.0927692</v>
      </c>
      <c r="G13" s="222">
        <v>40364.875156219998</v>
      </c>
      <c r="H13" s="222">
        <v>227.17072349</v>
      </c>
      <c r="I13" s="222">
        <v>189.44215199999999</v>
      </c>
      <c r="J13" s="222">
        <v>42.981928859999996</v>
      </c>
      <c r="K13" s="222">
        <v>283.72711052</v>
      </c>
      <c r="L13" s="222">
        <v>0.65763255000000009</v>
      </c>
      <c r="M13" s="222">
        <v>56.053628419999995</v>
      </c>
      <c r="N13" s="222">
        <v>966.26352899000017</v>
      </c>
      <c r="O13" s="222">
        <v>5812.1895971699996</v>
      </c>
      <c r="P13" s="222">
        <v>8.4428100700000002</v>
      </c>
      <c r="Q13" s="222">
        <v>42.861851349999995</v>
      </c>
      <c r="R13" s="222">
        <v>0.80666072999999994</v>
      </c>
      <c r="S13" s="222">
        <v>35.442205940000001</v>
      </c>
      <c r="T13" s="222">
        <v>172938.26707728999</v>
      </c>
      <c r="U13" s="222">
        <v>48361.330956850004</v>
      </c>
      <c r="V13" s="88">
        <v>1</v>
      </c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</row>
    <row r="14" spans="1:34" ht="14.5" customHeight="1" x14ac:dyDescent="0.15">
      <c r="B14" s="144"/>
      <c r="C14" s="300" t="s">
        <v>382</v>
      </c>
      <c r="D14" s="221">
        <v>1611147</v>
      </c>
      <c r="E14" s="222">
        <v>20596.31733605</v>
      </c>
      <c r="F14" s="222">
        <v>5753.08851048</v>
      </c>
      <c r="G14" s="222">
        <v>44983.466323960005</v>
      </c>
      <c r="H14" s="222">
        <v>487.02544861000001</v>
      </c>
      <c r="I14" s="222">
        <v>442.15963368000001</v>
      </c>
      <c r="J14" s="222">
        <v>89.248879779999996</v>
      </c>
      <c r="K14" s="222">
        <v>610.50889124000003</v>
      </c>
      <c r="L14" s="222">
        <v>6.2212145599999999</v>
      </c>
      <c r="M14" s="222">
        <v>94.509441449999997</v>
      </c>
      <c r="N14" s="222">
        <v>2621.6209873000003</v>
      </c>
      <c r="O14" s="222">
        <v>16562.399200789998</v>
      </c>
      <c r="P14" s="222">
        <v>12.38789693</v>
      </c>
      <c r="Q14" s="222">
        <v>156.02616183000001</v>
      </c>
      <c r="R14" s="222">
        <v>1.58165708</v>
      </c>
      <c r="S14" s="222">
        <v>146.35696235</v>
      </c>
      <c r="T14" s="222">
        <v>247010.28679258999</v>
      </c>
      <c r="U14" s="222">
        <v>18034.595863659997</v>
      </c>
      <c r="V14" s="88">
        <v>2</v>
      </c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</row>
    <row r="15" spans="1:34" ht="14.5" customHeight="1" x14ac:dyDescent="0.15">
      <c r="B15" s="144"/>
      <c r="C15" s="300" t="s">
        <v>383</v>
      </c>
      <c r="D15" s="221">
        <v>3749461</v>
      </c>
      <c r="E15" s="222">
        <v>80455.939799330008</v>
      </c>
      <c r="F15" s="222">
        <v>9633.8622026899993</v>
      </c>
      <c r="G15" s="222">
        <v>54585.580983840002</v>
      </c>
      <c r="H15" s="222">
        <v>1313.33767382</v>
      </c>
      <c r="I15" s="222">
        <v>1039.9899507600001</v>
      </c>
      <c r="J15" s="222">
        <v>213.66615240000002</v>
      </c>
      <c r="K15" s="222">
        <v>955.49470501999997</v>
      </c>
      <c r="L15" s="222">
        <v>35.674818409999993</v>
      </c>
      <c r="M15" s="222">
        <v>138.64924678</v>
      </c>
      <c r="N15" s="222">
        <v>12460.34169626</v>
      </c>
      <c r="O15" s="222">
        <v>64728.94667723</v>
      </c>
      <c r="P15" s="222">
        <v>18.796802040000003</v>
      </c>
      <c r="Q15" s="222">
        <v>425.11485563000002</v>
      </c>
      <c r="R15" s="222">
        <v>3.78844023</v>
      </c>
      <c r="S15" s="222">
        <v>414.77079493999997</v>
      </c>
      <c r="T15" s="222">
        <v>480844.11483996001</v>
      </c>
      <c r="U15" s="222">
        <v>30823.747498520002</v>
      </c>
      <c r="V15" s="88">
        <v>3</v>
      </c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</row>
    <row r="16" spans="1:34" ht="14.5" customHeight="1" x14ac:dyDescent="0.15">
      <c r="B16" s="144"/>
      <c r="C16" s="300" t="s">
        <v>384</v>
      </c>
      <c r="D16" s="221">
        <v>8552679</v>
      </c>
      <c r="E16" s="222">
        <v>265303.49877618998</v>
      </c>
      <c r="F16" s="222">
        <v>28745.766401009998</v>
      </c>
      <c r="G16" s="222">
        <v>91591.598325469997</v>
      </c>
      <c r="H16" s="222">
        <v>10550.679407359999</v>
      </c>
      <c r="I16" s="222">
        <v>9938.3395942799998</v>
      </c>
      <c r="J16" s="222">
        <v>3676.6514153000003</v>
      </c>
      <c r="K16" s="222">
        <v>7922.9781008999998</v>
      </c>
      <c r="L16" s="222">
        <v>431.54556823000001</v>
      </c>
      <c r="M16" s="222">
        <v>1472.65524848</v>
      </c>
      <c r="N16" s="222">
        <v>33476.990328660002</v>
      </c>
      <c r="O16" s="222">
        <v>199807.37222495</v>
      </c>
      <c r="P16" s="222">
        <v>2150.1234301100003</v>
      </c>
      <c r="Q16" s="222">
        <v>4100.0171186500002</v>
      </c>
      <c r="R16" s="222">
        <v>499.63286131999996</v>
      </c>
      <c r="S16" s="222">
        <v>2491.6238044299998</v>
      </c>
      <c r="T16" s="222">
        <v>841047.20365388994</v>
      </c>
      <c r="U16" s="222">
        <v>80346.039452480007</v>
      </c>
      <c r="V16" s="88">
        <v>4</v>
      </c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</row>
    <row r="17" spans="2:34" ht="14.5" customHeight="1" x14ac:dyDescent="0.15">
      <c r="B17" s="144"/>
      <c r="C17" s="300" t="s">
        <v>385</v>
      </c>
      <c r="D17" s="221">
        <v>6071452</v>
      </c>
      <c r="E17" s="222">
        <v>344502.89938302001</v>
      </c>
      <c r="F17" s="222">
        <v>43185.129924909997</v>
      </c>
      <c r="G17" s="222">
        <v>123786.43453599</v>
      </c>
      <c r="H17" s="222">
        <v>15989.609014760001</v>
      </c>
      <c r="I17" s="222">
        <v>11125.65486828</v>
      </c>
      <c r="J17" s="222">
        <v>8043.2705132499996</v>
      </c>
      <c r="K17" s="222">
        <v>16582.321955250001</v>
      </c>
      <c r="L17" s="222">
        <v>2058.5410421500001</v>
      </c>
      <c r="M17" s="222">
        <v>3696.61788166</v>
      </c>
      <c r="N17" s="222">
        <v>35710.61791315001</v>
      </c>
      <c r="O17" s="222">
        <v>252267.22892308998</v>
      </c>
      <c r="P17" s="222">
        <v>17275.700822340001</v>
      </c>
      <c r="Q17" s="222">
        <v>20378.277027119999</v>
      </c>
      <c r="R17" s="222">
        <v>3269.3844013200001</v>
      </c>
      <c r="S17" s="222">
        <v>6593.0472708500001</v>
      </c>
      <c r="T17" s="222">
        <v>1095961.63688351</v>
      </c>
      <c r="U17" s="222">
        <v>110549.36818235999</v>
      </c>
      <c r="V17" s="88">
        <v>5</v>
      </c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</row>
    <row r="18" spans="2:34" ht="14.5" customHeight="1" x14ac:dyDescent="0.15">
      <c r="B18" s="144"/>
      <c r="C18" s="300" t="s">
        <v>386</v>
      </c>
      <c r="D18" s="221">
        <v>2437949</v>
      </c>
      <c r="E18" s="222">
        <v>273754.91554111999</v>
      </c>
      <c r="F18" s="222">
        <v>39046.223655709997</v>
      </c>
      <c r="G18" s="222">
        <v>84882.597287479992</v>
      </c>
      <c r="H18" s="222">
        <v>14637.66585424</v>
      </c>
      <c r="I18" s="222">
        <v>4955.6230323599993</v>
      </c>
      <c r="J18" s="222">
        <v>4690.1637279399993</v>
      </c>
      <c r="K18" s="222">
        <v>13389.223601670001</v>
      </c>
      <c r="L18" s="222">
        <v>3387.6096795200001</v>
      </c>
      <c r="M18" s="222">
        <v>3460.3076862300004</v>
      </c>
      <c r="N18" s="222">
        <v>14624.270300639997</v>
      </c>
      <c r="O18" s="222">
        <v>214769.50392866001</v>
      </c>
      <c r="P18" s="222">
        <v>35982.884557700003</v>
      </c>
      <c r="Q18" s="222">
        <v>35359.530058889999</v>
      </c>
      <c r="R18" s="222">
        <v>4548.3103017800004</v>
      </c>
      <c r="S18" s="222">
        <v>4211.77967025</v>
      </c>
      <c r="T18" s="222">
        <v>968196.20291938004</v>
      </c>
      <c r="U18" s="222">
        <v>87634.834971389995</v>
      </c>
      <c r="V18" s="88">
        <v>6</v>
      </c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</row>
    <row r="19" spans="2:34" ht="14.5" customHeight="1" x14ac:dyDescent="0.15">
      <c r="B19" s="144"/>
      <c r="C19" s="300" t="s">
        <v>387</v>
      </c>
      <c r="D19" s="221">
        <v>856055</v>
      </c>
      <c r="E19" s="222">
        <v>191856.69627335999</v>
      </c>
      <c r="F19" s="222">
        <v>30545.270439790002</v>
      </c>
      <c r="G19" s="222">
        <v>61169.801200729999</v>
      </c>
      <c r="H19" s="222">
        <v>13691.849136920002</v>
      </c>
      <c r="I19" s="222">
        <v>1841.1899261999999</v>
      </c>
      <c r="J19" s="222">
        <v>1716.2114653199999</v>
      </c>
      <c r="K19" s="222">
        <v>8028.1905286700003</v>
      </c>
      <c r="L19" s="222">
        <v>3376.08254923</v>
      </c>
      <c r="M19" s="222">
        <v>2634.4648002399999</v>
      </c>
      <c r="N19" s="222">
        <v>2045.8897064700068</v>
      </c>
      <c r="O19" s="222">
        <v>158630.37098425999</v>
      </c>
      <c r="P19" s="222">
        <v>35440.780147960002</v>
      </c>
      <c r="Q19" s="222">
        <v>33759.109578030002</v>
      </c>
      <c r="R19" s="222">
        <v>3308.9929521200002</v>
      </c>
      <c r="S19" s="222">
        <v>1860.5568332600001</v>
      </c>
      <c r="T19" s="222">
        <v>785484.89484257996</v>
      </c>
      <c r="U19" s="222">
        <v>58251.314944580001</v>
      </c>
      <c r="V19" s="88">
        <v>7</v>
      </c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</row>
    <row r="20" spans="2:34" ht="14.5" customHeight="1" x14ac:dyDescent="0.15">
      <c r="B20" s="144"/>
      <c r="C20" s="300" t="s">
        <v>388</v>
      </c>
      <c r="D20" s="221">
        <v>161346</v>
      </c>
      <c r="E20" s="222">
        <v>67473.676733979999</v>
      </c>
      <c r="F20" s="222">
        <v>16061.38789588</v>
      </c>
      <c r="G20" s="222">
        <v>29682.67525203</v>
      </c>
      <c r="H20" s="222">
        <v>3877.6925572400005</v>
      </c>
      <c r="I20" s="222">
        <v>369.63094224000002</v>
      </c>
      <c r="J20" s="222">
        <v>342.30369101999997</v>
      </c>
      <c r="K20" s="222">
        <v>1958.8749338</v>
      </c>
      <c r="L20" s="222">
        <v>2097.2359714100003</v>
      </c>
      <c r="M20" s="222">
        <v>878.72616053000002</v>
      </c>
      <c r="N20" s="222">
        <v>325.72684966000088</v>
      </c>
      <c r="O20" s="222">
        <v>57633.333352180001</v>
      </c>
      <c r="P20" s="222">
        <v>14304.10785509</v>
      </c>
      <c r="Q20" s="222">
        <v>12793.96130882</v>
      </c>
      <c r="R20" s="222">
        <v>1599.5396855400002</v>
      </c>
      <c r="S20" s="222">
        <v>402.93771827999996</v>
      </c>
      <c r="T20" s="222">
        <v>393038.95463577</v>
      </c>
      <c r="U20" s="222">
        <v>25254.281862610002</v>
      </c>
      <c r="V20" s="88">
        <v>8</v>
      </c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</row>
    <row r="21" spans="2:34" ht="14.5" customHeight="1" x14ac:dyDescent="0.15">
      <c r="B21" s="144"/>
      <c r="C21" s="300" t="s">
        <v>389</v>
      </c>
      <c r="D21" s="221">
        <v>20798</v>
      </c>
      <c r="E21" s="222">
        <v>17962.274600200002</v>
      </c>
      <c r="F21" s="222">
        <v>7737.6000458899998</v>
      </c>
      <c r="G21" s="222">
        <v>14414.097974</v>
      </c>
      <c r="H21" s="222">
        <v>539.18614539999999</v>
      </c>
      <c r="I21" s="222">
        <v>47.370856200000006</v>
      </c>
      <c r="J21" s="222">
        <v>42.497941439999998</v>
      </c>
      <c r="K21" s="222">
        <v>279.26929895999996</v>
      </c>
      <c r="L21" s="222">
        <v>956.20080025000004</v>
      </c>
      <c r="M21" s="222">
        <v>134.90158405</v>
      </c>
      <c r="N21" s="222">
        <v>65.476370549999956</v>
      </c>
      <c r="O21" s="222">
        <v>15898.59162058</v>
      </c>
      <c r="P21" s="222">
        <v>4163.8927276799996</v>
      </c>
      <c r="Q21" s="222">
        <v>3541.8290977500001</v>
      </c>
      <c r="R21" s="222">
        <v>543.70522784000002</v>
      </c>
      <c r="S21" s="222">
        <v>95.687894870000008</v>
      </c>
      <c r="T21" s="222">
        <v>188907.47008301</v>
      </c>
      <c r="U21" s="222">
        <v>7618.37317136</v>
      </c>
      <c r="V21" s="88">
        <v>9</v>
      </c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</row>
    <row r="22" spans="2:34" ht="14.5" customHeight="1" thickBot="1" x14ac:dyDescent="0.2">
      <c r="B22" s="144"/>
      <c r="C22" s="301" t="s">
        <v>390</v>
      </c>
      <c r="D22" s="224">
        <v>7129</v>
      </c>
      <c r="E22" s="225">
        <v>23370.140934039999</v>
      </c>
      <c r="F22" s="225">
        <v>10605.427839780001</v>
      </c>
      <c r="G22" s="225">
        <v>15802.7705879</v>
      </c>
      <c r="H22" s="225">
        <v>450.21406073000003</v>
      </c>
      <c r="I22" s="225">
        <v>16.024164599999999</v>
      </c>
      <c r="J22" s="225">
        <v>13.64224164</v>
      </c>
      <c r="K22" s="225">
        <v>132.84742262999998</v>
      </c>
      <c r="L22" s="225">
        <v>4740.5335969399994</v>
      </c>
      <c r="M22" s="225">
        <v>102.85835490000001</v>
      </c>
      <c r="N22" s="225">
        <v>16.30642730999989</v>
      </c>
      <c r="O22" s="225">
        <v>17938.384708289999</v>
      </c>
      <c r="P22" s="225">
        <v>4835.7408470300006</v>
      </c>
      <c r="Q22" s="225">
        <v>4049.3723718699998</v>
      </c>
      <c r="R22" s="225">
        <v>783.53272773000003</v>
      </c>
      <c r="S22" s="225">
        <v>90.073545440000004</v>
      </c>
      <c r="T22" s="225">
        <v>224561.87801582</v>
      </c>
      <c r="U22" s="225">
        <v>10722.524958880002</v>
      </c>
      <c r="V22" s="88">
        <v>10</v>
      </c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</row>
    <row r="23" spans="2:34" ht="14.5" customHeight="1" thickBot="1" x14ac:dyDescent="0.2">
      <c r="B23" s="144"/>
      <c r="C23" s="226" t="s">
        <v>64</v>
      </c>
      <c r="D23" s="227">
        <v>26494416</v>
      </c>
      <c r="E23" s="227">
        <v>1293205.3016929198</v>
      </c>
      <c r="F23" s="227">
        <v>207361.44886296001</v>
      </c>
      <c r="G23" s="227">
        <v>632171.26170038001</v>
      </c>
      <c r="H23" s="227">
        <v>62362.978285420017</v>
      </c>
      <c r="I23" s="227">
        <v>30385.130287439999</v>
      </c>
      <c r="J23" s="227">
        <v>18944.704693859996</v>
      </c>
      <c r="K23" s="227">
        <v>51019.698709409997</v>
      </c>
      <c r="L23" s="227">
        <v>17090.40650623</v>
      </c>
      <c r="M23" s="227">
        <v>12943.905911059999</v>
      </c>
      <c r="N23" s="227">
        <v>102385.76893314</v>
      </c>
      <c r="O23" s="227">
        <v>1004511.9546503098</v>
      </c>
      <c r="P23" s="227">
        <v>114232.38902445001</v>
      </c>
      <c r="Q23" s="227">
        <v>114802.38511961001</v>
      </c>
      <c r="R23" s="227">
        <v>14563.077486759999</v>
      </c>
      <c r="S23" s="227">
        <v>16503.528498659998</v>
      </c>
      <c r="T23" s="227">
        <v>5825477.6990356604</v>
      </c>
      <c r="U23" s="227">
        <v>508898.44947743998</v>
      </c>
      <c r="V23" s="22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</row>
    <row r="24" spans="2:34" ht="14.5" customHeight="1" x14ac:dyDescent="0.15">
      <c r="B24" s="347"/>
      <c r="C24" s="469"/>
      <c r="D24" s="470"/>
      <c r="E24" s="470"/>
      <c r="F24" s="470"/>
      <c r="G24" s="470"/>
      <c r="H24" s="470"/>
      <c r="I24" s="470"/>
      <c r="J24" s="470"/>
      <c r="K24" s="470"/>
      <c r="L24" s="470"/>
      <c r="M24" s="470"/>
      <c r="N24" s="470"/>
      <c r="O24" s="470"/>
      <c r="P24" s="470"/>
      <c r="Q24" s="470"/>
      <c r="R24" s="470"/>
      <c r="S24" s="470"/>
      <c r="T24" s="470"/>
      <c r="U24" s="470"/>
      <c r="V24" s="22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</row>
    <row r="25" spans="2:34" ht="14.5" customHeight="1" x14ac:dyDescent="0.15">
      <c r="B25" s="347"/>
      <c r="C25" s="469"/>
      <c r="D25" s="470"/>
      <c r="E25" s="470"/>
      <c r="F25" s="470"/>
      <c r="G25" s="470"/>
      <c r="H25" s="470"/>
      <c r="I25" s="470"/>
      <c r="J25" s="470"/>
      <c r="K25" s="470"/>
      <c r="L25" s="470"/>
      <c r="M25" s="470"/>
      <c r="N25" s="470"/>
      <c r="O25" s="470"/>
      <c r="P25" s="470"/>
      <c r="Q25" s="470"/>
      <c r="R25" s="470"/>
      <c r="S25" s="470"/>
      <c r="T25" s="470"/>
      <c r="U25" s="470"/>
      <c r="V25" s="22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</row>
    <row r="26" spans="2:34" ht="14.5" customHeight="1" x14ac:dyDescent="0.15">
      <c r="B26" s="347"/>
      <c r="C26" s="469"/>
      <c r="D26" s="470"/>
      <c r="E26" s="470"/>
      <c r="F26" s="470"/>
      <c r="G26" s="470"/>
      <c r="H26" s="470"/>
      <c r="I26" s="470"/>
      <c r="J26" s="470"/>
      <c r="K26" s="470"/>
      <c r="L26" s="470"/>
      <c r="M26" s="470"/>
      <c r="N26" s="470"/>
      <c r="O26" s="470"/>
      <c r="P26" s="470"/>
      <c r="Q26" s="470"/>
      <c r="R26" s="470"/>
      <c r="S26" s="470"/>
      <c r="T26" s="470"/>
      <c r="U26" s="470"/>
      <c r="V26" s="22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</row>
    <row r="27" spans="2:34" x14ac:dyDescent="0.15">
      <c r="B27" s="144"/>
      <c r="K27" s="1" t="s">
        <v>468</v>
      </c>
      <c r="L27" s="1" t="s">
        <v>469</v>
      </c>
      <c r="V27" s="22"/>
    </row>
    <row r="28" spans="2:34" x14ac:dyDescent="0.15">
      <c r="B28" s="179"/>
      <c r="C28" s="395">
        <v>0</v>
      </c>
      <c r="D28" s="399">
        <f t="shared" ref="D28:D38" si="0">D12</f>
        <v>2033457</v>
      </c>
      <c r="E28" s="400">
        <f>(E12-L12)*1000000</f>
        <v>617292910.58000004</v>
      </c>
      <c r="F28" s="1">
        <f t="shared" ref="F28:F38" si="1">E28-L12*1000000</f>
        <v>617189277.60000002</v>
      </c>
      <c r="G28" s="398" t="str">
        <f>IF(AND(E28/D28&lt;=C29,E28/D28&gt;=C28), "OK", "ERROR")</f>
        <v>OK</v>
      </c>
      <c r="H28" s="398" t="str">
        <f>IF(AND(F28/D28&lt;=C29,F28/D28&gt;=C28), "OK", "ERROR")</f>
        <v>OK</v>
      </c>
      <c r="I28" s="1">
        <f>$I$39*(E28/$E$39)</f>
        <v>136794392.87089315</v>
      </c>
      <c r="J28" s="471">
        <f>E28+I28</f>
        <v>754087303.45089316</v>
      </c>
      <c r="K28" s="394">
        <v>678</v>
      </c>
      <c r="L28" s="1">
        <f>K28*12</f>
        <v>8136</v>
      </c>
      <c r="P28" s="177">
        <f>P12/O12</f>
        <v>8.5263755106765537E-2</v>
      </c>
      <c r="Q28" s="177">
        <f>Q12/O12</f>
        <v>0.42336396741998977</v>
      </c>
      <c r="R28" s="177">
        <f>R12/O12</f>
        <v>8.2016757171560917E-3</v>
      </c>
      <c r="S28" s="177">
        <f>S12/O12</f>
        <v>0.34780019414980806</v>
      </c>
      <c r="T28" s="177">
        <f>(Q12+R12-S12)/O12</f>
        <v>8.3765448987337801E-2</v>
      </c>
      <c r="V28" s="22"/>
    </row>
    <row r="29" spans="2:34" x14ac:dyDescent="0.15">
      <c r="B29" s="179"/>
      <c r="C29" s="396">
        <f>L29*0.5</f>
        <v>4068</v>
      </c>
      <c r="D29" s="399">
        <f t="shared" si="0"/>
        <v>992943</v>
      </c>
      <c r="E29" s="400">
        <f t="shared" ref="E29:E38" si="2">(E13-L13)*1000000</f>
        <v>7310888139.5200005</v>
      </c>
      <c r="F29" s="1">
        <f t="shared" si="1"/>
        <v>7310230506.9700003</v>
      </c>
      <c r="G29" s="398" t="str">
        <f t="shared" ref="G29:G37" si="3">IF(AND(E29/D29&lt;=C30,E29/D29&gt;=C29), "OK", "ERROR")</f>
        <v>OK</v>
      </c>
      <c r="H29" s="398" t="str">
        <f t="shared" ref="H29:H37" si="4">IF(AND(F29/D29&lt;=C30,F29/D29&gt;=C29), "OK", "ERROR")</f>
        <v>OK</v>
      </c>
      <c r="I29" s="1">
        <f t="shared" ref="I29:I38" si="5">$I$39*(E29/$E$39)</f>
        <v>1620119860.8501472</v>
      </c>
      <c r="J29" s="471">
        <f t="shared" ref="J29:J38" si="6">E29+I29</f>
        <v>8931008000.3701477</v>
      </c>
      <c r="K29" s="394">
        <v>678</v>
      </c>
      <c r="L29" s="1">
        <f t="shared" ref="L29:L38" si="7">K29*12</f>
        <v>8136</v>
      </c>
      <c r="M29" s="20"/>
      <c r="N29" s="20"/>
      <c r="O29" s="20"/>
      <c r="P29" s="177">
        <f>P13/O13</f>
        <v>1.4526040365425916E-3</v>
      </c>
      <c r="Q29" s="177">
        <f t="shared" ref="Q29:Q38" si="8">Q13/O13</f>
        <v>7.3744757691438295E-3</v>
      </c>
      <c r="R29" s="177">
        <f t="shared" ref="R29:R38" si="9">R13/O13</f>
        <v>1.3878775227717439E-4</v>
      </c>
      <c r="S29" s="177">
        <f t="shared" ref="S29:S38" si="10">S13/O13</f>
        <v>6.0979094620824291E-3</v>
      </c>
      <c r="T29" s="177">
        <f t="shared" ref="T29:T38" si="11">(Q13+R13-S13)/O13</f>
        <v>1.4153540593385742E-3</v>
      </c>
      <c r="U29" s="20"/>
      <c r="V29" s="22"/>
    </row>
    <row r="30" spans="2:34" x14ac:dyDescent="0.15">
      <c r="B30" s="179"/>
      <c r="C30" s="397">
        <f>L30</f>
        <v>8136</v>
      </c>
      <c r="D30" s="399">
        <f t="shared" si="0"/>
        <v>1611147</v>
      </c>
      <c r="E30" s="400">
        <f t="shared" si="2"/>
        <v>20590096121.490002</v>
      </c>
      <c r="F30" s="1">
        <f t="shared" si="1"/>
        <v>20583874906.93</v>
      </c>
      <c r="G30" s="398" t="str">
        <f t="shared" si="3"/>
        <v>OK</v>
      </c>
      <c r="H30" s="398" t="str">
        <f t="shared" si="4"/>
        <v>OK</v>
      </c>
      <c r="I30" s="1">
        <f t="shared" si="5"/>
        <v>4562841480.6288776</v>
      </c>
      <c r="J30" s="471">
        <f t="shared" si="6"/>
        <v>25152937602.118881</v>
      </c>
      <c r="K30" s="394">
        <v>678</v>
      </c>
      <c r="L30" s="1">
        <f t="shared" si="7"/>
        <v>8136</v>
      </c>
      <c r="P30" s="177">
        <f t="shared" ref="P30:P37" si="12">P14/O14</f>
        <v>7.479530459215787E-4</v>
      </c>
      <c r="Q30" s="177">
        <f t="shared" si="8"/>
        <v>9.4205048398155883E-3</v>
      </c>
      <c r="R30" s="177">
        <f t="shared" si="9"/>
        <v>9.5496857721226626E-5</v>
      </c>
      <c r="S30" s="177">
        <f t="shared" si="10"/>
        <v>8.8367005634678239E-3</v>
      </c>
      <c r="T30" s="177">
        <f t="shared" si="11"/>
        <v>6.7930113406899223E-4</v>
      </c>
      <c r="V30" s="22"/>
    </row>
    <row r="31" spans="2:34" x14ac:dyDescent="0.15">
      <c r="B31" s="179"/>
      <c r="C31" s="397">
        <f>L31*2</f>
        <v>16272</v>
      </c>
      <c r="D31" s="399">
        <f t="shared" si="0"/>
        <v>3749461</v>
      </c>
      <c r="E31" s="400">
        <f t="shared" si="2"/>
        <v>80420264980.920013</v>
      </c>
      <c r="F31" s="1">
        <f t="shared" si="1"/>
        <v>80384590162.51001</v>
      </c>
      <c r="G31" s="398" t="str">
        <f t="shared" si="3"/>
        <v>OK</v>
      </c>
      <c r="H31" s="398" t="str">
        <f t="shared" si="4"/>
        <v>OK</v>
      </c>
      <c r="I31" s="1">
        <f t="shared" si="5"/>
        <v>17821428262.062611</v>
      </c>
      <c r="J31" s="471">
        <f t="shared" si="6"/>
        <v>98241693242.98262</v>
      </c>
      <c r="K31" s="394">
        <v>678</v>
      </c>
      <c r="L31" s="1">
        <f t="shared" si="7"/>
        <v>8136</v>
      </c>
      <c r="P31" s="177">
        <f t="shared" si="12"/>
        <v>2.9039252150556377E-4</v>
      </c>
      <c r="Q31" s="177">
        <f t="shared" si="8"/>
        <v>6.5676158419482617E-3</v>
      </c>
      <c r="R31" s="177">
        <f t="shared" si="9"/>
        <v>5.8527759595579467E-5</v>
      </c>
      <c r="S31" s="177">
        <f t="shared" si="10"/>
        <v>6.4078100483891511E-3</v>
      </c>
      <c r="T31" s="177">
        <f t="shared" si="11"/>
        <v>2.1833355315468923E-4</v>
      </c>
      <c r="V31" s="22"/>
    </row>
    <row r="32" spans="2:34" x14ac:dyDescent="0.15">
      <c r="B32" s="179"/>
      <c r="C32" s="397">
        <f>L32*3</f>
        <v>24408</v>
      </c>
      <c r="D32" s="399">
        <f t="shared" si="0"/>
        <v>8552679</v>
      </c>
      <c r="E32" s="400">
        <f t="shared" si="2"/>
        <v>264871953207.95999</v>
      </c>
      <c r="F32" s="1">
        <f t="shared" si="1"/>
        <v>264440407639.72998</v>
      </c>
      <c r="G32" s="398" t="str">
        <f t="shared" si="3"/>
        <v>OK</v>
      </c>
      <c r="H32" s="398" t="str">
        <f t="shared" si="4"/>
        <v>OK</v>
      </c>
      <c r="I32" s="1">
        <f t="shared" si="5"/>
        <v>58696604815.316071</v>
      </c>
      <c r="J32" s="471">
        <f t="shared" si="6"/>
        <v>323568558023.27606</v>
      </c>
      <c r="K32" s="394">
        <v>678</v>
      </c>
      <c r="L32" s="1">
        <f t="shared" si="7"/>
        <v>8136</v>
      </c>
      <c r="M32" s="78"/>
      <c r="N32" s="78"/>
      <c r="O32" s="78"/>
      <c r="P32" s="177">
        <f t="shared" si="12"/>
        <v>1.0760981470139737E-2</v>
      </c>
      <c r="Q32" s="177">
        <f t="shared" si="8"/>
        <v>2.0519849057591629E-2</v>
      </c>
      <c r="R32" s="177">
        <f t="shared" si="9"/>
        <v>2.5005727053829434E-3</v>
      </c>
      <c r="S32" s="177">
        <f t="shared" si="10"/>
        <v>1.247012948863991E-2</v>
      </c>
      <c r="T32" s="177">
        <f t="shared" si="11"/>
        <v>1.0550292274334665E-2</v>
      </c>
      <c r="U32" s="78"/>
      <c r="V32" s="22"/>
      <c r="Z32" s="118"/>
    </row>
    <row r="33" spans="1:22" x14ac:dyDescent="0.15">
      <c r="B33" s="179"/>
      <c r="C33" s="397">
        <f>L33*5</f>
        <v>40680</v>
      </c>
      <c r="D33" s="399">
        <f t="shared" si="0"/>
        <v>6071452</v>
      </c>
      <c r="E33" s="400">
        <f t="shared" si="2"/>
        <v>342444358340.87</v>
      </c>
      <c r="F33" s="1">
        <f t="shared" si="1"/>
        <v>340385817298.71997</v>
      </c>
      <c r="G33" s="398" t="str">
        <f t="shared" si="3"/>
        <v>OK</v>
      </c>
      <c r="H33" s="398" t="str">
        <f t="shared" si="4"/>
        <v>OK</v>
      </c>
      <c r="I33" s="1">
        <f t="shared" si="5"/>
        <v>75886936798.427597</v>
      </c>
      <c r="J33" s="471">
        <f t="shared" si="6"/>
        <v>418331295139.29761</v>
      </c>
      <c r="K33" s="394">
        <v>678</v>
      </c>
      <c r="L33" s="1">
        <f t="shared" si="7"/>
        <v>8136</v>
      </c>
      <c r="P33" s="177">
        <f t="shared" si="12"/>
        <v>6.8481748089471162E-2</v>
      </c>
      <c r="Q33" s="177">
        <f t="shared" si="8"/>
        <v>8.0780516415522322E-2</v>
      </c>
      <c r="R33" s="177">
        <f t="shared" si="9"/>
        <v>1.2960004417841979E-2</v>
      </c>
      <c r="S33" s="177">
        <f t="shared" si="10"/>
        <v>2.613517141721193E-2</v>
      </c>
      <c r="T33" s="177">
        <f t="shared" si="11"/>
        <v>6.7605349416152372E-2</v>
      </c>
      <c r="V33" s="22"/>
    </row>
    <row r="34" spans="1:22" x14ac:dyDescent="0.15">
      <c r="B34" s="179"/>
      <c r="C34" s="397">
        <f>L34*10</f>
        <v>81360</v>
      </c>
      <c r="D34" s="399">
        <f t="shared" si="0"/>
        <v>2437949</v>
      </c>
      <c r="E34" s="400">
        <f t="shared" si="2"/>
        <v>270367305861.59998</v>
      </c>
      <c r="F34" s="1">
        <f t="shared" si="1"/>
        <v>266979696182.07999</v>
      </c>
      <c r="G34" s="398" t="str">
        <f t="shared" si="3"/>
        <v>OK</v>
      </c>
      <c r="H34" s="398" t="str">
        <f t="shared" si="4"/>
        <v>OK</v>
      </c>
      <c r="I34" s="1">
        <f t="shared" si="5"/>
        <v>59914395295.300392</v>
      </c>
      <c r="J34" s="471">
        <f t="shared" si="6"/>
        <v>330281701156.90039</v>
      </c>
      <c r="K34" s="394">
        <v>678</v>
      </c>
      <c r="L34" s="1">
        <f t="shared" si="7"/>
        <v>8136</v>
      </c>
      <c r="P34" s="177">
        <f t="shared" si="12"/>
        <v>0.16754187116645963</v>
      </c>
      <c r="Q34" s="177">
        <f t="shared" si="8"/>
        <v>0.16463943628903374</v>
      </c>
      <c r="R34" s="177">
        <f t="shared" si="9"/>
        <v>2.1177635644634225E-2</v>
      </c>
      <c r="S34" s="177">
        <f t="shared" si="10"/>
        <v>1.9610697017994821E-2</v>
      </c>
      <c r="T34" s="177">
        <f t="shared" si="11"/>
        <v>0.16620637491567314</v>
      </c>
      <c r="V34" s="22"/>
    </row>
    <row r="35" spans="1:22" x14ac:dyDescent="0.15">
      <c r="B35" s="179"/>
      <c r="C35" s="397">
        <f>L35*20</f>
        <v>162720</v>
      </c>
      <c r="D35" s="399">
        <f t="shared" si="0"/>
        <v>856055</v>
      </c>
      <c r="E35" s="400">
        <f t="shared" si="2"/>
        <v>188480613724.13</v>
      </c>
      <c r="F35" s="1">
        <f t="shared" si="1"/>
        <v>185104531174.89999</v>
      </c>
      <c r="G35" s="398" t="str">
        <f t="shared" si="3"/>
        <v>OK</v>
      </c>
      <c r="H35" s="398" t="str">
        <f t="shared" si="4"/>
        <v>OK</v>
      </c>
      <c r="I35" s="1">
        <f t="shared" si="5"/>
        <v>41768001349.797211</v>
      </c>
      <c r="J35" s="471">
        <f t="shared" si="6"/>
        <v>230248615073.92722</v>
      </c>
      <c r="K35" s="394">
        <v>678</v>
      </c>
      <c r="L35" s="1">
        <f t="shared" si="7"/>
        <v>8136</v>
      </c>
      <c r="P35" s="177">
        <f t="shared" si="12"/>
        <v>0.22341736912080093</v>
      </c>
      <c r="Q35" s="177">
        <f t="shared" si="8"/>
        <v>0.21281617995698773</v>
      </c>
      <c r="R35" s="177">
        <f t="shared" si="9"/>
        <v>2.0859769359351327E-2</v>
      </c>
      <c r="S35" s="177">
        <f t="shared" si="10"/>
        <v>1.1728881561051211E-2</v>
      </c>
      <c r="T35" s="177">
        <f t="shared" si="11"/>
        <v>0.22194706775528786</v>
      </c>
      <c r="V35" s="22"/>
    </row>
    <row r="36" spans="1:22" x14ac:dyDescent="0.15">
      <c r="B36" s="179"/>
      <c r="C36" s="397">
        <f>L36*40</f>
        <v>325440</v>
      </c>
      <c r="D36" s="399">
        <f t="shared" si="0"/>
        <v>161346</v>
      </c>
      <c r="E36" s="400">
        <f t="shared" si="2"/>
        <v>65376440762.57</v>
      </c>
      <c r="F36" s="1">
        <f t="shared" si="1"/>
        <v>63279204791.159996</v>
      </c>
      <c r="G36" s="398" t="str">
        <f t="shared" si="3"/>
        <v>OK</v>
      </c>
      <c r="H36" s="398" t="str">
        <f t="shared" si="4"/>
        <v>OK</v>
      </c>
      <c r="I36" s="1">
        <f t="shared" si="5"/>
        <v>14487661155.500441</v>
      </c>
      <c r="J36" s="471">
        <f t="shared" si="6"/>
        <v>79864101918.070435</v>
      </c>
      <c r="K36" s="394">
        <v>678</v>
      </c>
      <c r="L36" s="1">
        <f t="shared" si="7"/>
        <v>8136</v>
      </c>
      <c r="P36" s="177">
        <f t="shared" si="12"/>
        <v>0.24819157635186379</v>
      </c>
      <c r="Q36" s="177">
        <f t="shared" si="8"/>
        <v>0.22198891795204595</v>
      </c>
      <c r="R36" s="177">
        <f t="shared" si="9"/>
        <v>2.7753725014753063E-2</v>
      </c>
      <c r="S36" s="177">
        <f t="shared" si="10"/>
        <v>6.9914005462389014E-3</v>
      </c>
      <c r="T36" s="177">
        <f t="shared" si="11"/>
        <v>0.24275124242056012</v>
      </c>
      <c r="V36" s="22"/>
    </row>
    <row r="37" spans="1:22" x14ac:dyDescent="0.15">
      <c r="B37" s="179"/>
      <c r="C37" s="397">
        <f>L37*80</f>
        <v>650880</v>
      </c>
      <c r="D37" s="399">
        <f t="shared" si="0"/>
        <v>20798</v>
      </c>
      <c r="E37" s="400">
        <f t="shared" si="2"/>
        <v>17006073799.950001</v>
      </c>
      <c r="F37" s="1">
        <f t="shared" si="1"/>
        <v>16049872999.700001</v>
      </c>
      <c r="G37" s="398" t="str">
        <f t="shared" si="3"/>
        <v>OK</v>
      </c>
      <c r="H37" s="398" t="str">
        <f t="shared" si="4"/>
        <v>OK</v>
      </c>
      <c r="I37" s="1">
        <f t="shared" si="5"/>
        <v>3768608873.8585544</v>
      </c>
      <c r="J37" s="471">
        <f t="shared" si="6"/>
        <v>20774682673.808556</v>
      </c>
      <c r="K37" s="394">
        <v>678</v>
      </c>
      <c r="L37" s="1">
        <f t="shared" si="7"/>
        <v>8136</v>
      </c>
      <c r="P37" s="177">
        <f t="shared" si="12"/>
        <v>0.26190324445405783</v>
      </c>
      <c r="Q37" s="177">
        <f t="shared" si="8"/>
        <v>0.22277627995458818</v>
      </c>
      <c r="R37" s="177">
        <f t="shared" si="9"/>
        <v>3.4198326544610309E-2</v>
      </c>
      <c r="S37" s="177">
        <f t="shared" si="10"/>
        <v>6.0186397105852071E-3</v>
      </c>
      <c r="T37" s="177">
        <f t="shared" si="11"/>
        <v>0.25095596678861332</v>
      </c>
      <c r="V37" s="22"/>
    </row>
    <row r="38" spans="1:22" x14ac:dyDescent="0.15">
      <c r="B38" s="179"/>
      <c r="C38" s="397">
        <f>L38*160</f>
        <v>1301760</v>
      </c>
      <c r="D38" s="399">
        <f t="shared" si="0"/>
        <v>7129</v>
      </c>
      <c r="E38" s="400">
        <f t="shared" si="2"/>
        <v>18629607337.099998</v>
      </c>
      <c r="F38" s="1">
        <f t="shared" si="1"/>
        <v>13889073740.16</v>
      </c>
      <c r="G38" s="398" t="str">
        <f>IF(AND(E38/D38&gt;=C38), "OK", "ERROR")</f>
        <v>OK</v>
      </c>
      <c r="H38" s="398" t="str">
        <f>IF(AND(F38/D38&gt;=C38), "OK", "ERROR")</f>
        <v>OK</v>
      </c>
      <c r="I38" s="1">
        <f t="shared" si="5"/>
        <v>4128389912.5089002</v>
      </c>
      <c r="J38" s="471">
        <f t="shared" si="6"/>
        <v>22757997249.608898</v>
      </c>
      <c r="K38" s="394">
        <v>678</v>
      </c>
      <c r="L38" s="1">
        <f t="shared" si="7"/>
        <v>8136</v>
      </c>
      <c r="P38" s="177">
        <f>P22/O22</f>
        <v>0.26957504400021165</v>
      </c>
      <c r="Q38" s="177">
        <f t="shared" si="8"/>
        <v>0.22573784862572566</v>
      </c>
      <c r="R38" s="177">
        <f t="shared" si="9"/>
        <v>4.3679112722334483E-2</v>
      </c>
      <c r="S38" s="177">
        <f t="shared" si="10"/>
        <v>5.021274039148778E-3</v>
      </c>
      <c r="T38" s="177">
        <f t="shared" si="11"/>
        <v>0.26439568730891133</v>
      </c>
      <c r="V38" s="22"/>
    </row>
    <row r="39" spans="1:22" x14ac:dyDescent="0.15">
      <c r="B39" s="179"/>
      <c r="E39" s="405">
        <f>SUM(E28:E38)</f>
        <v>1276114895186.6899</v>
      </c>
      <c r="I39" s="78">
        <f>('[2]Fiscal income_DIRPF'!$E$12+'[2]Fiscal income_DIRPF'!$G$12)*1000000</f>
        <v>282791782197.1217</v>
      </c>
      <c r="J39" s="471">
        <f>E39+I39</f>
        <v>1558906677383.8115</v>
      </c>
      <c r="P39" s="405"/>
      <c r="V39" s="22"/>
    </row>
    <row r="40" spans="1:22" x14ac:dyDescent="0.15">
      <c r="B40" s="179"/>
      <c r="J40" s="471"/>
      <c r="V40" s="22"/>
    </row>
    <row r="41" spans="1:22" x14ac:dyDescent="0.15">
      <c r="B41" s="179"/>
      <c r="J41" s="394"/>
      <c r="V41" s="22"/>
    </row>
    <row r="42" spans="1:22" x14ac:dyDescent="0.15">
      <c r="B42" s="179"/>
      <c r="J42" s="394"/>
      <c r="V42" s="22"/>
    </row>
    <row r="43" spans="1:22" x14ac:dyDescent="0.15">
      <c r="B43" s="179"/>
      <c r="I43" s="1" t="s">
        <v>562</v>
      </c>
      <c r="J43" s="394"/>
      <c r="V43" s="22"/>
    </row>
    <row r="44" spans="1:22" x14ac:dyDescent="0.15">
      <c r="B44" s="179"/>
      <c r="C44" s="9"/>
      <c r="I44" s="68">
        <v>2063.64</v>
      </c>
      <c r="J44" s="394"/>
      <c r="V44" s="22"/>
    </row>
    <row r="45" spans="1:22" x14ac:dyDescent="0.15">
      <c r="B45" s="179"/>
      <c r="V45" s="22"/>
    </row>
    <row r="46" spans="1:22" x14ac:dyDescent="0.15">
      <c r="B46" s="179"/>
      <c r="V46" s="22"/>
    </row>
    <row r="47" spans="1:22" x14ac:dyDescent="0.15">
      <c r="A47" s="1" t="s">
        <v>575</v>
      </c>
      <c r="H47" s="1" t="s">
        <v>558</v>
      </c>
      <c r="J47" s="1" t="s">
        <v>559</v>
      </c>
      <c r="K47" s="1" t="s">
        <v>560</v>
      </c>
      <c r="M47" s="1" t="s">
        <v>561</v>
      </c>
      <c r="V47" s="22"/>
    </row>
    <row r="48" spans="1:22" x14ac:dyDescent="0.15">
      <c r="A48" s="1">
        <f>(E59)/D73</f>
        <v>48165.428337302845</v>
      </c>
      <c r="C48" s="1">
        <f>C28</f>
        <v>0</v>
      </c>
      <c r="D48" s="78">
        <f>D12</f>
        <v>2033457</v>
      </c>
      <c r="E48" s="78">
        <f>((E12-L12)*1000000)</f>
        <v>617292910.58000004</v>
      </c>
      <c r="J48" s="1">
        <f>D48/($A$51)</f>
        <v>1.4719685796577472E-2</v>
      </c>
      <c r="K48" s="1">
        <f>J48+K49</f>
        <v>0.1917864399806905</v>
      </c>
      <c r="M48" s="474">
        <f>1-K48</f>
        <v>0.80821356001930944</v>
      </c>
      <c r="V48" s="22"/>
    </row>
    <row r="49" spans="1:22" x14ac:dyDescent="0.15">
      <c r="C49" s="1">
        <f t="shared" ref="C49:C58" si="13">C29</f>
        <v>4068</v>
      </c>
      <c r="D49" s="78">
        <f t="shared" ref="D49:D58" si="14">D13</f>
        <v>992943</v>
      </c>
      <c r="E49" s="78">
        <f t="shared" ref="E49:E58" si="15">((E13-L13)*1000000)</f>
        <v>7310888139.5200005</v>
      </c>
      <c r="H49" s="1">
        <f>(SUM(E49:$E$58)/SUM(D49:$D$58))/C49</f>
        <v>12.818146255782919</v>
      </c>
      <c r="J49" s="1">
        <f t="shared" ref="J49:J58" si="16">D49/($A$51)</f>
        <v>7.187665622588049E-3</v>
      </c>
      <c r="K49" s="1">
        <f t="shared" ref="K49:K57" si="17">J49+K50</f>
        <v>0.17706675418411302</v>
      </c>
      <c r="M49" s="474">
        <f t="shared" ref="M49:M58" si="18">1-K49</f>
        <v>0.822933245815887</v>
      </c>
      <c r="V49" s="22"/>
    </row>
    <row r="50" spans="1:22" x14ac:dyDescent="0.15">
      <c r="A50" s="1" t="s">
        <v>581</v>
      </c>
      <c r="C50" s="1">
        <f t="shared" si="13"/>
        <v>8136</v>
      </c>
      <c r="D50" s="78">
        <f t="shared" si="14"/>
        <v>1611147</v>
      </c>
      <c r="E50" s="78">
        <f t="shared" si="15"/>
        <v>20590096121.490002</v>
      </c>
      <c r="H50" s="1">
        <f>(SUM(E50:$E$58)/SUM(D50:$D$58))/C50</f>
        <v>6.6419543065815878</v>
      </c>
      <c r="J50" s="1">
        <f t="shared" si="16"/>
        <v>1.1662689504670325E-2</v>
      </c>
      <c r="K50" s="1">
        <f t="shared" si="17"/>
        <v>0.16987908856152498</v>
      </c>
      <c r="M50" s="474">
        <f t="shared" si="18"/>
        <v>0.830120911438475</v>
      </c>
      <c r="V50" s="22"/>
    </row>
    <row r="51" spans="1:22" x14ac:dyDescent="0.15">
      <c r="A51" s="473">
        <v>138145408</v>
      </c>
      <c r="C51" s="1">
        <f t="shared" si="13"/>
        <v>16272</v>
      </c>
      <c r="D51" s="78">
        <f t="shared" si="14"/>
        <v>3749461</v>
      </c>
      <c r="E51" s="78">
        <f t="shared" si="15"/>
        <v>80420264980.920013</v>
      </c>
      <c r="H51" s="1">
        <f>(SUM(E51:$E$58)/SUM(D51:$D$58))/C51</f>
        <v>3.507884649294875</v>
      </c>
      <c r="J51" s="1">
        <f t="shared" si="16"/>
        <v>2.7141408855225937E-2</v>
      </c>
      <c r="K51" s="1">
        <f t="shared" si="17"/>
        <v>0.15821639905685464</v>
      </c>
      <c r="M51" s="474">
        <f t="shared" si="18"/>
        <v>0.84178360094314542</v>
      </c>
      <c r="V51" s="22"/>
    </row>
    <row r="52" spans="1:22" ht="14" thickBot="1" x14ac:dyDescent="0.2">
      <c r="A52" s="1" t="s">
        <v>582</v>
      </c>
      <c r="C52" s="1">
        <f t="shared" si="13"/>
        <v>24408</v>
      </c>
      <c r="D52" s="78">
        <f t="shared" si="14"/>
        <v>8552679</v>
      </c>
      <c r="E52" s="78">
        <f t="shared" si="15"/>
        <v>264871953207.95999</v>
      </c>
      <c r="H52" s="1">
        <f>(SUM(E52:$E$58)/SUM(D52:$D$58))/C52</f>
        <v>2.6408759297930664</v>
      </c>
      <c r="J52" s="1">
        <f t="shared" si="16"/>
        <v>6.1910700643773839E-2</v>
      </c>
      <c r="K52" s="1">
        <f t="shared" si="17"/>
        <v>0.13107499020162872</v>
      </c>
      <c r="M52" s="474">
        <f t="shared" si="18"/>
        <v>0.86892500979837128</v>
      </c>
      <c r="N52" s="185"/>
      <c r="O52" s="185"/>
      <c r="P52" s="185"/>
      <c r="Q52" s="185"/>
      <c r="R52" s="185"/>
      <c r="S52" s="185"/>
      <c r="T52" s="185"/>
      <c r="U52" s="185"/>
      <c r="V52" s="27"/>
    </row>
    <row r="53" spans="1:22" x14ac:dyDescent="0.15">
      <c r="A53" s="78">
        <v>3290130994460.5488</v>
      </c>
      <c r="C53" s="1">
        <f t="shared" si="13"/>
        <v>40680</v>
      </c>
      <c r="D53" s="78">
        <f t="shared" si="14"/>
        <v>6071452</v>
      </c>
      <c r="E53" s="78">
        <f t="shared" si="15"/>
        <v>342444358340.87</v>
      </c>
      <c r="H53" s="1">
        <f>(SUM(E53:$E$58)/SUM(D53:$D$58))/C53</f>
        <v>2.3214201891043835</v>
      </c>
      <c r="J53" s="1">
        <f t="shared" si="16"/>
        <v>4.3949719993588203E-2</v>
      </c>
      <c r="K53" s="1">
        <f t="shared" si="17"/>
        <v>6.9164289557854863E-2</v>
      </c>
      <c r="M53" s="474">
        <f t="shared" si="18"/>
        <v>0.93083571044214519</v>
      </c>
    </row>
    <row r="54" spans="1:22" x14ac:dyDescent="0.15">
      <c r="A54" s="1" t="s">
        <v>583</v>
      </c>
      <c r="C54" s="1">
        <f t="shared" si="13"/>
        <v>81360</v>
      </c>
      <c r="D54" s="78">
        <f t="shared" si="14"/>
        <v>2437949</v>
      </c>
      <c r="E54" s="78">
        <f t="shared" si="15"/>
        <v>270367305861.59998</v>
      </c>
      <c r="H54" s="1">
        <f>(SUM(E54:$E$58)/SUM(D54:$D$58))/C54</f>
        <v>1.9755158566134043</v>
      </c>
      <c r="J54" s="1">
        <f t="shared" si="16"/>
        <v>1.7647702050291821E-2</v>
      </c>
      <c r="K54" s="1">
        <f t="shared" si="17"/>
        <v>2.521456956426666E-2</v>
      </c>
      <c r="M54" s="474">
        <f t="shared" si="18"/>
        <v>0.97478543043573329</v>
      </c>
    </row>
    <row r="55" spans="1:22" x14ac:dyDescent="0.15">
      <c r="A55" s="1">
        <f>A53/(A51)</f>
        <v>23816.434017557418</v>
      </c>
      <c r="C55" s="1">
        <f t="shared" si="13"/>
        <v>162720</v>
      </c>
      <c r="D55" s="78">
        <f t="shared" si="14"/>
        <v>856055</v>
      </c>
      <c r="E55" s="78">
        <f t="shared" si="15"/>
        <v>188480613724.13</v>
      </c>
      <c r="H55" s="1">
        <f>(SUM(E55:$E$58)/SUM(D55:$D$58))/C55</f>
        <v>1.7019396305243828</v>
      </c>
      <c r="J55" s="1">
        <f t="shared" si="16"/>
        <v>6.1967676840912443E-3</v>
      </c>
      <c r="K55" s="1">
        <f t="shared" si="17"/>
        <v>7.5668675139748407E-3</v>
      </c>
      <c r="M55" s="474">
        <f t="shared" si="18"/>
        <v>0.99243313248602516</v>
      </c>
    </row>
    <row r="56" spans="1:22" x14ac:dyDescent="0.15">
      <c r="C56" s="1">
        <f t="shared" si="13"/>
        <v>325440</v>
      </c>
      <c r="D56" s="78">
        <f t="shared" si="14"/>
        <v>161346</v>
      </c>
      <c r="E56" s="78">
        <f t="shared" si="15"/>
        <v>65376440762.57</v>
      </c>
      <c r="H56" s="1">
        <f>(SUM(E56:$E$58)/SUM(D56:$D$58))/C56</f>
        <v>1.6398869020146931</v>
      </c>
      <c r="J56" s="1">
        <f t="shared" si="16"/>
        <v>1.1679432732212135E-3</v>
      </c>
      <c r="K56" s="1">
        <f t="shared" si="17"/>
        <v>1.3700998298835964E-3</v>
      </c>
      <c r="M56" s="474">
        <f t="shared" si="18"/>
        <v>0.99862990017011644</v>
      </c>
    </row>
    <row r="57" spans="1:22" x14ac:dyDescent="0.15">
      <c r="C57" s="1">
        <f t="shared" si="13"/>
        <v>650880</v>
      </c>
      <c r="D57" s="78">
        <f t="shared" si="14"/>
        <v>20798</v>
      </c>
      <c r="E57" s="78">
        <f t="shared" si="15"/>
        <v>17006073799.950001</v>
      </c>
      <c r="H57" s="1">
        <f>(SUM(E57:$E$58)/SUM(D57:$D$58))/C57</f>
        <v>1.960468426502761</v>
      </c>
      <c r="J57" s="1">
        <f t="shared" si="16"/>
        <v>1.5055151163620293E-4</v>
      </c>
      <c r="K57" s="1">
        <f t="shared" si="17"/>
        <v>2.0215655666238288E-4</v>
      </c>
      <c r="M57" s="474">
        <f t="shared" si="18"/>
        <v>0.99979784344333766</v>
      </c>
    </row>
    <row r="58" spans="1:22" x14ac:dyDescent="0.15">
      <c r="C58" s="1">
        <f t="shared" si="13"/>
        <v>1301760</v>
      </c>
      <c r="D58" s="78">
        <f t="shared" si="14"/>
        <v>7129</v>
      </c>
      <c r="E58" s="78">
        <f t="shared" si="15"/>
        <v>18629607337.099998</v>
      </c>
      <c r="H58" s="1">
        <f>(SUM(E58:$E$58)/SUM(D58:$D$58))/C58</f>
        <v>2.0074473510028459</v>
      </c>
      <c r="J58" s="1">
        <f t="shared" si="16"/>
        <v>5.1605045026179953E-5</v>
      </c>
      <c r="K58" s="1">
        <f>J58+K59</f>
        <v>5.1605045026179953E-5</v>
      </c>
      <c r="M58" s="474">
        <f t="shared" si="18"/>
        <v>0.99994839495497378</v>
      </c>
    </row>
    <row r="59" spans="1:22" x14ac:dyDescent="0.15">
      <c r="D59" s="1">
        <f>SUM(D48:D58)</f>
        <v>26494416</v>
      </c>
      <c r="E59" s="78">
        <f>SUM(E48:E58)</f>
        <v>1276114895186.6899</v>
      </c>
    </row>
    <row r="61" spans="1:22" x14ac:dyDescent="0.15">
      <c r="D61" s="1" t="s">
        <v>564</v>
      </c>
      <c r="E61" s="1" t="s">
        <v>563</v>
      </c>
      <c r="F61" s="1" t="s">
        <v>566</v>
      </c>
      <c r="G61" s="1" t="s">
        <v>565</v>
      </c>
      <c r="I61" s="1" t="s">
        <v>576</v>
      </c>
      <c r="J61" s="1" t="s">
        <v>567</v>
      </c>
      <c r="K61" s="1" t="s">
        <v>568</v>
      </c>
    </row>
    <row r="62" spans="1:22" x14ac:dyDescent="0.15">
      <c r="C62" s="1">
        <f>C48</f>
        <v>0</v>
      </c>
      <c r="D62" s="78">
        <f>D12</f>
        <v>2033457</v>
      </c>
      <c r="E62" s="1">
        <f>(I12*1000000/$I$44)</f>
        <v>203381</v>
      </c>
      <c r="F62" s="1">
        <f>'[1]Tabela 6.2'!J41</f>
        <v>0.24952015436023062</v>
      </c>
      <c r="G62" s="1">
        <f>(E62)*F62</f>
        <v>50747.658513938062</v>
      </c>
      <c r="I62" s="1">
        <f>M48</f>
        <v>0.80821356001930944</v>
      </c>
      <c r="J62" s="78">
        <f>E48/D62</f>
        <v>303.56821441515609</v>
      </c>
      <c r="K62" s="1">
        <f t="shared" ref="K62:K72" si="19">(D62-G62)/D62</f>
        <v>0.97504365299392215</v>
      </c>
      <c r="L62" s="1">
        <f>(D73-G73)/D73</f>
        <v>0.78567807425099501</v>
      </c>
    </row>
    <row r="63" spans="1:22" x14ac:dyDescent="0.15">
      <c r="C63" s="1">
        <f t="shared" ref="C63:C72" si="20">C49</f>
        <v>4068</v>
      </c>
      <c r="D63" s="78">
        <f t="shared" ref="D63:D72" si="21">D13</f>
        <v>992943</v>
      </c>
      <c r="E63" s="1">
        <f t="shared" ref="E63:E72" si="22">I13*1000000/$I$44</f>
        <v>91800</v>
      </c>
      <c r="F63" s="1">
        <f>'[1]Tabela 6.2'!J42</f>
        <v>0.30259496985855078</v>
      </c>
      <c r="G63" s="1">
        <f t="shared" ref="G63:G72" si="23">E63*F63</f>
        <v>27778.218233014963</v>
      </c>
      <c r="I63" s="1">
        <f t="shared" ref="I63:I72" si="24">M49</f>
        <v>0.822933245815887</v>
      </c>
      <c r="J63" s="78">
        <f t="shared" ref="J63:J72" si="25">E49/D49</f>
        <v>7362.8477561350455</v>
      </c>
      <c r="K63" s="1">
        <f t="shared" si="19"/>
        <v>0.97202435765898454</v>
      </c>
    </row>
    <row r="64" spans="1:22" x14ac:dyDescent="0.15">
      <c r="C64" s="1">
        <f t="shared" si="20"/>
        <v>8136</v>
      </c>
      <c r="D64" s="78">
        <f t="shared" si="21"/>
        <v>1611147</v>
      </c>
      <c r="E64" s="1">
        <f t="shared" si="22"/>
        <v>214262.00000000003</v>
      </c>
      <c r="F64" s="1">
        <f>'[1]Tabela 6.2'!J43</f>
        <v>0.31597051711526186</v>
      </c>
      <c r="G64" s="1">
        <f t="shared" si="23"/>
        <v>67700.474938150248</v>
      </c>
      <c r="I64" s="1">
        <f t="shared" si="24"/>
        <v>0.830120911438475</v>
      </c>
      <c r="J64" s="78">
        <f t="shared" si="25"/>
        <v>12779.774981109733</v>
      </c>
      <c r="K64" s="1">
        <f t="shared" si="19"/>
        <v>0.95797995158843341</v>
      </c>
    </row>
    <row r="65" spans="2:11" x14ac:dyDescent="0.15">
      <c r="C65" s="1">
        <f t="shared" si="20"/>
        <v>16272</v>
      </c>
      <c r="D65" s="78">
        <f t="shared" si="21"/>
        <v>3749461</v>
      </c>
      <c r="E65" s="1">
        <f t="shared" si="22"/>
        <v>503959.00000000006</v>
      </c>
      <c r="F65" s="1">
        <f>'[1]Tabela 6.2'!J44</f>
        <v>0.36270081657721487</v>
      </c>
      <c r="G65" s="1">
        <f t="shared" si="23"/>
        <v>182786.34082143664</v>
      </c>
      <c r="I65" s="1">
        <f t="shared" si="24"/>
        <v>0.84178360094314542</v>
      </c>
      <c r="J65" s="78">
        <f t="shared" si="25"/>
        <v>21448.486857422977</v>
      </c>
      <c r="K65" s="1">
        <f t="shared" si="19"/>
        <v>0.9512499687764624</v>
      </c>
    </row>
    <row r="66" spans="2:11" x14ac:dyDescent="0.15">
      <c r="C66" s="1">
        <f t="shared" si="20"/>
        <v>24408</v>
      </c>
      <c r="D66" s="78">
        <f t="shared" si="21"/>
        <v>8552679</v>
      </c>
      <c r="E66" s="1">
        <f t="shared" si="22"/>
        <v>4815927.0000000009</v>
      </c>
      <c r="F66" s="1">
        <f>'[1]Tabela 6.2'!J45</f>
        <v>0.37959055059648766</v>
      </c>
      <c r="G66" s="1">
        <f t="shared" si="23"/>
        <v>1828080.3815624914</v>
      </c>
      <c r="I66" s="1">
        <f t="shared" si="24"/>
        <v>0.86892500979837128</v>
      </c>
      <c r="J66" s="78">
        <f t="shared" si="25"/>
        <v>30969.472045888779</v>
      </c>
      <c r="K66" s="1">
        <f t="shared" si="19"/>
        <v>0.78625640205104252</v>
      </c>
    </row>
    <row r="67" spans="2:11" x14ac:dyDescent="0.15">
      <c r="C67" s="1">
        <f t="shared" si="20"/>
        <v>40680</v>
      </c>
      <c r="D67" s="78">
        <f t="shared" si="21"/>
        <v>6071452</v>
      </c>
      <c r="E67" s="1">
        <f t="shared" si="22"/>
        <v>5391277.0000000009</v>
      </c>
      <c r="F67" s="1">
        <f>'[1]Tabela 6.2'!J46</f>
        <v>0.38885036842730075</v>
      </c>
      <c r="G67" s="1">
        <f t="shared" si="23"/>
        <v>2096400.0477436332</v>
      </c>
      <c r="I67" s="1">
        <f t="shared" si="24"/>
        <v>0.93083571044214519</v>
      </c>
      <c r="J67" s="78">
        <f t="shared" si="25"/>
        <v>56402.382550478862</v>
      </c>
      <c r="K67" s="1">
        <f t="shared" si="19"/>
        <v>0.65471191277743224</v>
      </c>
    </row>
    <row r="68" spans="2:11" x14ac:dyDescent="0.15">
      <c r="C68" s="1">
        <f t="shared" si="20"/>
        <v>81360</v>
      </c>
      <c r="D68" s="78">
        <f t="shared" si="21"/>
        <v>2437949</v>
      </c>
      <c r="E68" s="1">
        <f t="shared" si="22"/>
        <v>2401399</v>
      </c>
      <c r="F68" s="1">
        <f>'[1]Tabela 6.2'!J47</f>
        <v>0.40338662979911244</v>
      </c>
      <c r="G68" s="1">
        <f t="shared" si="23"/>
        <v>968692.24941295886</v>
      </c>
      <c r="I68" s="1">
        <f t="shared" si="24"/>
        <v>0.97478543043573329</v>
      </c>
      <c r="J68" s="78">
        <f t="shared" si="25"/>
        <v>110899.49209831706</v>
      </c>
      <c r="K68" s="1">
        <f t="shared" si="19"/>
        <v>0.60266098699646342</v>
      </c>
    </row>
    <row r="69" spans="2:11" x14ac:dyDescent="0.15">
      <c r="C69" s="1">
        <f t="shared" si="20"/>
        <v>162720</v>
      </c>
      <c r="D69" s="78">
        <f t="shared" si="21"/>
        <v>856055</v>
      </c>
      <c r="E69" s="1">
        <f t="shared" si="22"/>
        <v>892205.00000000012</v>
      </c>
      <c r="F69" s="1">
        <f>'[1]Tabela 6.2'!J48</f>
        <v>0.41391281040326483</v>
      </c>
      <c r="G69" s="1">
        <f t="shared" si="23"/>
        <v>369295.07900584495</v>
      </c>
      <c r="I69" s="1">
        <f t="shared" si="24"/>
        <v>0.99243313248602516</v>
      </c>
      <c r="J69" s="78">
        <f t="shared" si="25"/>
        <v>220173.48619438004</v>
      </c>
      <c r="K69" s="1">
        <f t="shared" si="19"/>
        <v>0.56860823310903508</v>
      </c>
    </row>
    <row r="70" spans="2:11" x14ac:dyDescent="0.15">
      <c r="C70" s="1">
        <f t="shared" si="20"/>
        <v>325440</v>
      </c>
      <c r="D70" s="78">
        <f t="shared" si="21"/>
        <v>161346</v>
      </c>
      <c r="E70" s="1">
        <f t="shared" si="22"/>
        <v>179116.00000000003</v>
      </c>
      <c r="F70" s="1">
        <f>F69</f>
        <v>0.41391281040326483</v>
      </c>
      <c r="G70" s="1">
        <f t="shared" si="23"/>
        <v>74138.406948191201</v>
      </c>
      <c r="I70" s="1">
        <f t="shared" si="24"/>
        <v>0.99862990017011644</v>
      </c>
      <c r="J70" s="78">
        <f t="shared" si="25"/>
        <v>405194.05973851227</v>
      </c>
      <c r="K70" s="1">
        <f t="shared" si="19"/>
        <v>0.54050049614994355</v>
      </c>
    </row>
    <row r="71" spans="2:11" x14ac:dyDescent="0.15">
      <c r="C71" s="1">
        <f t="shared" si="20"/>
        <v>650880</v>
      </c>
      <c r="D71" s="78">
        <f t="shared" si="21"/>
        <v>20798</v>
      </c>
      <c r="E71" s="1">
        <f t="shared" si="22"/>
        <v>22955.000000000004</v>
      </c>
      <c r="F71" s="1">
        <f t="shared" ref="F71:F72" si="26">F70</f>
        <v>0.41391281040326483</v>
      </c>
      <c r="G71" s="1">
        <f t="shared" si="23"/>
        <v>9501.3685628069452</v>
      </c>
      <c r="I71" s="1">
        <f t="shared" si="24"/>
        <v>0.99979784344333766</v>
      </c>
      <c r="J71" s="78">
        <f t="shared" si="25"/>
        <v>817678.32483652281</v>
      </c>
      <c r="K71" s="1">
        <f t="shared" si="19"/>
        <v>0.54315950751000364</v>
      </c>
    </row>
    <row r="72" spans="2:11" x14ac:dyDescent="0.15">
      <c r="C72" s="1">
        <f t="shared" si="20"/>
        <v>1301760</v>
      </c>
      <c r="D72" s="78">
        <f t="shared" si="21"/>
        <v>7129</v>
      </c>
      <c r="E72" s="1">
        <f t="shared" si="22"/>
        <v>7765</v>
      </c>
      <c r="F72" s="1">
        <f t="shared" si="26"/>
        <v>0.41391281040326483</v>
      </c>
      <c r="G72" s="1">
        <f t="shared" si="23"/>
        <v>3214.0329727813514</v>
      </c>
      <c r="I72" s="1">
        <f t="shared" si="24"/>
        <v>0.99994839495497378</v>
      </c>
      <c r="J72" s="78">
        <f t="shared" si="25"/>
        <v>2613214.6636414644</v>
      </c>
      <c r="K72" s="1">
        <f t="shared" si="19"/>
        <v>0.54916075567662348</v>
      </c>
    </row>
    <row r="73" spans="2:11" x14ac:dyDescent="0.15">
      <c r="D73" s="78">
        <f>SUM(D62:D72)</f>
        <v>26494416</v>
      </c>
      <c r="E73" s="78">
        <f>SUM(E62:E72)</f>
        <v>14724046.000000002</v>
      </c>
      <c r="G73" s="1">
        <f>SUM(G62:G72)</f>
        <v>5678334.2587152477</v>
      </c>
    </row>
    <row r="74" spans="2:11" x14ac:dyDescent="0.15">
      <c r="D74" s="78">
        <f>D23</f>
        <v>26494416</v>
      </c>
      <c r="E74" s="78">
        <f>(I23)*1000000/I44</f>
        <v>14724046</v>
      </c>
    </row>
    <row r="77" spans="2:11" x14ac:dyDescent="0.15">
      <c r="B77" s="78"/>
      <c r="C77" s="466"/>
    </row>
    <row r="79" spans="2:11" x14ac:dyDescent="0.15">
      <c r="C79" s="78"/>
      <c r="D79" s="78"/>
      <c r="E79" s="78"/>
    </row>
    <row r="84" spans="3:12" x14ac:dyDescent="0.15">
      <c r="C84" s="78"/>
      <c r="D84" s="78"/>
      <c r="E84" s="78"/>
      <c r="F84" s="78"/>
      <c r="G84" s="467"/>
      <c r="H84" s="78"/>
      <c r="I84" s="468"/>
      <c r="J84" s="467"/>
      <c r="K84" s="78"/>
      <c r="L84" s="398"/>
    </row>
    <row r="85" spans="3:12" x14ac:dyDescent="0.15">
      <c r="C85" s="78"/>
      <c r="D85" s="78"/>
      <c r="E85" s="78"/>
      <c r="F85" s="78"/>
      <c r="G85" s="467"/>
      <c r="H85" s="78"/>
      <c r="I85" s="468"/>
      <c r="K85" s="78"/>
      <c r="L85" s="398"/>
    </row>
    <row r="86" spans="3:12" x14ac:dyDescent="0.15">
      <c r="C86" s="78"/>
      <c r="D86" s="78"/>
      <c r="E86" s="78"/>
      <c r="F86" s="78"/>
      <c r="G86" s="467"/>
      <c r="H86" s="78"/>
      <c r="I86" s="468"/>
      <c r="K86" s="78"/>
      <c r="L86" s="398"/>
    </row>
    <row r="87" spans="3:12" x14ac:dyDescent="0.15">
      <c r="C87" s="78"/>
      <c r="D87" s="78"/>
      <c r="E87" s="78"/>
      <c r="F87" s="78"/>
      <c r="G87" s="467"/>
      <c r="H87" s="78"/>
      <c r="I87" s="468"/>
      <c r="K87" s="78"/>
      <c r="L87" s="398"/>
    </row>
    <row r="88" spans="3:12" x14ac:dyDescent="0.15">
      <c r="C88" s="78"/>
      <c r="D88" s="78"/>
      <c r="E88" s="78"/>
      <c r="F88" s="78"/>
      <c r="G88" s="467"/>
      <c r="H88" s="78"/>
      <c r="I88" s="468"/>
      <c r="K88" s="78"/>
      <c r="L88" s="398"/>
    </row>
    <row r="89" spans="3:12" x14ac:dyDescent="0.15">
      <c r="C89" s="78"/>
      <c r="D89" s="78"/>
      <c r="E89" s="78"/>
      <c r="F89" s="78"/>
      <c r="G89" s="467"/>
      <c r="H89" s="78"/>
      <c r="I89" s="468"/>
      <c r="K89" s="78"/>
      <c r="L89" s="398"/>
    </row>
    <row r="90" spans="3:12" x14ac:dyDescent="0.15">
      <c r="C90" s="78"/>
      <c r="D90" s="78"/>
      <c r="E90" s="78"/>
      <c r="F90" s="78"/>
      <c r="G90" s="467"/>
      <c r="H90" s="78"/>
      <c r="I90" s="468"/>
      <c r="K90" s="78"/>
      <c r="L90" s="398"/>
    </row>
    <row r="91" spans="3:12" x14ac:dyDescent="0.15">
      <c r="C91" s="78"/>
      <c r="D91" s="78"/>
      <c r="E91" s="78"/>
      <c r="F91" s="78"/>
      <c r="G91" s="467"/>
      <c r="H91" s="78"/>
      <c r="I91" s="468"/>
      <c r="K91" s="78"/>
      <c r="L91" s="398"/>
    </row>
    <row r="92" spans="3:12" x14ac:dyDescent="0.15">
      <c r="C92" s="78"/>
      <c r="D92" s="78"/>
      <c r="E92" s="78"/>
      <c r="F92" s="78"/>
      <c r="G92" s="467"/>
      <c r="H92" s="78"/>
      <c r="I92" s="468"/>
      <c r="K92" s="78"/>
      <c r="L92" s="398"/>
    </row>
    <row r="93" spans="3:12" x14ac:dyDescent="0.15">
      <c r="C93" s="78"/>
      <c r="D93" s="78"/>
      <c r="E93" s="78"/>
      <c r="F93" s="78"/>
      <c r="G93" s="467"/>
      <c r="H93" s="78"/>
      <c r="I93" s="468"/>
      <c r="K93" s="78"/>
      <c r="L93" s="398"/>
    </row>
    <row r="94" spans="3:12" x14ac:dyDescent="0.15">
      <c r="L94" s="398"/>
    </row>
  </sheetData>
  <mergeCells count="13">
    <mergeCell ref="U10:U11"/>
    <mergeCell ref="T10:T11"/>
    <mergeCell ref="C10:C11"/>
    <mergeCell ref="D10:D11"/>
    <mergeCell ref="E10:E11"/>
    <mergeCell ref="F10:F11"/>
    <mergeCell ref="G10:G11"/>
    <mergeCell ref="H10:N10"/>
    <mergeCell ref="O10:O11"/>
    <mergeCell ref="P10:P11"/>
    <mergeCell ref="Q10:Q11"/>
    <mergeCell ref="R10:R11"/>
    <mergeCell ref="S10:S11"/>
  </mergeCells>
  <pageMargins left="0.25" right="0.25" top="0.75" bottom="0.75" header="0.3" footer="0.3"/>
  <pageSetup paperSize="9" scale="80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F45"/>
  <sheetViews>
    <sheetView showGridLines="0" topLeftCell="A3" zoomScale="150" zoomScaleNormal="150" zoomScalePageLayoutView="150" workbookViewId="0">
      <selection activeCell="A16" sqref="A16:XFD16"/>
    </sheetView>
  </sheetViews>
  <sheetFormatPr baseColWidth="10" defaultColWidth="8.83203125" defaultRowHeight="13" x14ac:dyDescent="0.15"/>
  <cols>
    <col min="1" max="1" width="4.6640625" style="1" customWidth="1"/>
    <col min="2" max="2" width="2" style="1" customWidth="1"/>
    <col min="3" max="3" width="17.83203125" style="1" customWidth="1"/>
    <col min="4" max="4" width="10.5" style="1" customWidth="1"/>
    <col min="5" max="5" width="9" style="1" customWidth="1"/>
    <col min="6" max="6" width="8.33203125" style="1" customWidth="1"/>
    <col min="7" max="7" width="9" style="1" customWidth="1"/>
    <col min="8" max="8" width="8.33203125" style="1" customWidth="1"/>
    <col min="9" max="9" width="11.5" style="1" customWidth="1"/>
    <col min="10" max="10" width="8.5" style="1" customWidth="1"/>
    <col min="11" max="11" width="8" style="1" customWidth="1"/>
    <col min="12" max="12" width="7.1640625" style="1" customWidth="1"/>
    <col min="13" max="13" width="7" style="1" customWidth="1"/>
    <col min="14" max="14" width="8" style="1" customWidth="1"/>
    <col min="15" max="15" width="9" style="1" customWidth="1"/>
    <col min="16" max="17" width="8" style="1" customWidth="1"/>
    <col min="18" max="18" width="7.33203125" style="1" customWidth="1"/>
    <col min="19" max="19" width="7.5" style="1" customWidth="1"/>
    <col min="20" max="21" width="9" style="1" customWidth="1"/>
    <col min="22" max="22" width="2" style="1" customWidth="1"/>
    <col min="23" max="23" width="14.33203125" style="1" customWidth="1"/>
    <col min="24" max="24" width="12" style="1" bestFit="1" customWidth="1"/>
    <col min="25" max="28" width="8.83203125" style="1"/>
    <col min="29" max="29" width="17.1640625" style="1" customWidth="1"/>
    <col min="30" max="30" width="16" style="1" customWidth="1"/>
    <col min="31" max="31" width="9.6640625" style="1" customWidth="1"/>
    <col min="32" max="32" width="11.5" style="1" customWidth="1"/>
    <col min="33" max="254" width="8.83203125" style="1"/>
    <col min="255" max="255" width="2.5" style="1" customWidth="1"/>
    <col min="256" max="256" width="2" style="1" customWidth="1"/>
    <col min="257" max="257" width="17.83203125" style="1" customWidth="1"/>
    <col min="258" max="258" width="10.5" style="1" customWidth="1"/>
    <col min="259" max="261" width="9" style="1" customWidth="1"/>
    <col min="262" max="262" width="8.33203125" style="1" customWidth="1"/>
    <col min="263" max="263" width="11.5" style="1" customWidth="1"/>
    <col min="264" max="264" width="8.5" style="1" customWidth="1"/>
    <col min="265" max="266" width="8" style="1" customWidth="1"/>
    <col min="267" max="267" width="7" style="1" customWidth="1"/>
    <col min="268" max="268" width="8" style="1" customWidth="1"/>
    <col min="269" max="269" width="9" style="1" customWidth="1"/>
    <col min="270" max="271" width="8" style="1" customWidth="1"/>
    <col min="272" max="272" width="7.33203125" style="1" customWidth="1"/>
    <col min="273" max="273" width="7.5" style="1" customWidth="1"/>
    <col min="274" max="274" width="10.5" style="1" customWidth="1"/>
    <col min="275" max="275" width="9" style="1" customWidth="1"/>
    <col min="276" max="276" width="2" style="1" customWidth="1"/>
    <col min="277" max="277" width="15.5" style="1" customWidth="1"/>
    <col min="278" max="278" width="8.5" style="1" customWidth="1"/>
    <col min="279" max="279" width="16.5" style="1" bestFit="1" customWidth="1"/>
    <col min="280" max="284" width="8.83203125" style="1"/>
    <col min="285" max="285" width="17.1640625" style="1" customWidth="1"/>
    <col min="286" max="286" width="16" style="1" customWidth="1"/>
    <col min="287" max="287" width="9.6640625" style="1" customWidth="1"/>
    <col min="288" max="288" width="11.5" style="1" customWidth="1"/>
    <col min="289" max="510" width="8.83203125" style="1"/>
    <col min="511" max="511" width="2.5" style="1" customWidth="1"/>
    <col min="512" max="512" width="2" style="1" customWidth="1"/>
    <col min="513" max="513" width="17.83203125" style="1" customWidth="1"/>
    <col min="514" max="514" width="10.5" style="1" customWidth="1"/>
    <col min="515" max="517" width="9" style="1" customWidth="1"/>
    <col min="518" max="518" width="8.33203125" style="1" customWidth="1"/>
    <col min="519" max="519" width="11.5" style="1" customWidth="1"/>
    <col min="520" max="520" width="8.5" style="1" customWidth="1"/>
    <col min="521" max="522" width="8" style="1" customWidth="1"/>
    <col min="523" max="523" width="7" style="1" customWidth="1"/>
    <col min="524" max="524" width="8" style="1" customWidth="1"/>
    <col min="525" max="525" width="9" style="1" customWidth="1"/>
    <col min="526" max="527" width="8" style="1" customWidth="1"/>
    <col min="528" max="528" width="7.33203125" style="1" customWidth="1"/>
    <col min="529" max="529" width="7.5" style="1" customWidth="1"/>
    <col min="530" max="530" width="10.5" style="1" customWidth="1"/>
    <col min="531" max="531" width="9" style="1" customWidth="1"/>
    <col min="532" max="532" width="2" style="1" customWidth="1"/>
    <col min="533" max="533" width="15.5" style="1" customWidth="1"/>
    <col min="534" max="534" width="8.5" style="1" customWidth="1"/>
    <col min="535" max="535" width="16.5" style="1" bestFit="1" customWidth="1"/>
    <col min="536" max="540" width="8.83203125" style="1"/>
    <col min="541" max="541" width="17.1640625" style="1" customWidth="1"/>
    <col min="542" max="542" width="16" style="1" customWidth="1"/>
    <col min="543" max="543" width="9.6640625" style="1" customWidth="1"/>
    <col min="544" max="544" width="11.5" style="1" customWidth="1"/>
    <col min="545" max="766" width="8.83203125" style="1"/>
    <col min="767" max="767" width="2.5" style="1" customWidth="1"/>
    <col min="768" max="768" width="2" style="1" customWidth="1"/>
    <col min="769" max="769" width="17.83203125" style="1" customWidth="1"/>
    <col min="770" max="770" width="10.5" style="1" customWidth="1"/>
    <col min="771" max="773" width="9" style="1" customWidth="1"/>
    <col min="774" max="774" width="8.33203125" style="1" customWidth="1"/>
    <col min="775" max="775" width="11.5" style="1" customWidth="1"/>
    <col min="776" max="776" width="8.5" style="1" customWidth="1"/>
    <col min="777" max="778" width="8" style="1" customWidth="1"/>
    <col min="779" max="779" width="7" style="1" customWidth="1"/>
    <col min="780" max="780" width="8" style="1" customWidth="1"/>
    <col min="781" max="781" width="9" style="1" customWidth="1"/>
    <col min="782" max="783" width="8" style="1" customWidth="1"/>
    <col min="784" max="784" width="7.33203125" style="1" customWidth="1"/>
    <col min="785" max="785" width="7.5" style="1" customWidth="1"/>
    <col min="786" max="786" width="10.5" style="1" customWidth="1"/>
    <col min="787" max="787" width="9" style="1" customWidth="1"/>
    <col min="788" max="788" width="2" style="1" customWidth="1"/>
    <col min="789" max="789" width="15.5" style="1" customWidth="1"/>
    <col min="790" max="790" width="8.5" style="1" customWidth="1"/>
    <col min="791" max="791" width="16.5" style="1" bestFit="1" customWidth="1"/>
    <col min="792" max="796" width="8.83203125" style="1"/>
    <col min="797" max="797" width="17.1640625" style="1" customWidth="1"/>
    <col min="798" max="798" width="16" style="1" customWidth="1"/>
    <col min="799" max="799" width="9.6640625" style="1" customWidth="1"/>
    <col min="800" max="800" width="11.5" style="1" customWidth="1"/>
    <col min="801" max="1022" width="8.83203125" style="1"/>
    <col min="1023" max="1023" width="2.5" style="1" customWidth="1"/>
    <col min="1024" max="1024" width="2" style="1" customWidth="1"/>
    <col min="1025" max="1025" width="17.83203125" style="1" customWidth="1"/>
    <col min="1026" max="1026" width="10.5" style="1" customWidth="1"/>
    <col min="1027" max="1029" width="9" style="1" customWidth="1"/>
    <col min="1030" max="1030" width="8.33203125" style="1" customWidth="1"/>
    <col min="1031" max="1031" width="11.5" style="1" customWidth="1"/>
    <col min="1032" max="1032" width="8.5" style="1" customWidth="1"/>
    <col min="1033" max="1034" width="8" style="1" customWidth="1"/>
    <col min="1035" max="1035" width="7" style="1" customWidth="1"/>
    <col min="1036" max="1036" width="8" style="1" customWidth="1"/>
    <col min="1037" max="1037" width="9" style="1" customWidth="1"/>
    <col min="1038" max="1039" width="8" style="1" customWidth="1"/>
    <col min="1040" max="1040" width="7.33203125" style="1" customWidth="1"/>
    <col min="1041" max="1041" width="7.5" style="1" customWidth="1"/>
    <col min="1042" max="1042" width="10.5" style="1" customWidth="1"/>
    <col min="1043" max="1043" width="9" style="1" customWidth="1"/>
    <col min="1044" max="1044" width="2" style="1" customWidth="1"/>
    <col min="1045" max="1045" width="15.5" style="1" customWidth="1"/>
    <col min="1046" max="1046" width="8.5" style="1" customWidth="1"/>
    <col min="1047" max="1047" width="16.5" style="1" bestFit="1" customWidth="1"/>
    <col min="1048" max="1052" width="8.83203125" style="1"/>
    <col min="1053" max="1053" width="17.1640625" style="1" customWidth="1"/>
    <col min="1054" max="1054" width="16" style="1" customWidth="1"/>
    <col min="1055" max="1055" width="9.6640625" style="1" customWidth="1"/>
    <col min="1056" max="1056" width="11.5" style="1" customWidth="1"/>
    <col min="1057" max="1278" width="8.83203125" style="1"/>
    <col min="1279" max="1279" width="2.5" style="1" customWidth="1"/>
    <col min="1280" max="1280" width="2" style="1" customWidth="1"/>
    <col min="1281" max="1281" width="17.83203125" style="1" customWidth="1"/>
    <col min="1282" max="1282" width="10.5" style="1" customWidth="1"/>
    <col min="1283" max="1285" width="9" style="1" customWidth="1"/>
    <col min="1286" max="1286" width="8.33203125" style="1" customWidth="1"/>
    <col min="1287" max="1287" width="11.5" style="1" customWidth="1"/>
    <col min="1288" max="1288" width="8.5" style="1" customWidth="1"/>
    <col min="1289" max="1290" width="8" style="1" customWidth="1"/>
    <col min="1291" max="1291" width="7" style="1" customWidth="1"/>
    <col min="1292" max="1292" width="8" style="1" customWidth="1"/>
    <col min="1293" max="1293" width="9" style="1" customWidth="1"/>
    <col min="1294" max="1295" width="8" style="1" customWidth="1"/>
    <col min="1296" max="1296" width="7.33203125" style="1" customWidth="1"/>
    <col min="1297" max="1297" width="7.5" style="1" customWidth="1"/>
    <col min="1298" max="1298" width="10.5" style="1" customWidth="1"/>
    <col min="1299" max="1299" width="9" style="1" customWidth="1"/>
    <col min="1300" max="1300" width="2" style="1" customWidth="1"/>
    <col min="1301" max="1301" width="15.5" style="1" customWidth="1"/>
    <col min="1302" max="1302" width="8.5" style="1" customWidth="1"/>
    <col min="1303" max="1303" width="16.5" style="1" bestFit="1" customWidth="1"/>
    <col min="1304" max="1308" width="8.83203125" style="1"/>
    <col min="1309" max="1309" width="17.1640625" style="1" customWidth="1"/>
    <col min="1310" max="1310" width="16" style="1" customWidth="1"/>
    <col min="1311" max="1311" width="9.6640625" style="1" customWidth="1"/>
    <col min="1312" max="1312" width="11.5" style="1" customWidth="1"/>
    <col min="1313" max="1534" width="8.83203125" style="1"/>
    <col min="1535" max="1535" width="2.5" style="1" customWidth="1"/>
    <col min="1536" max="1536" width="2" style="1" customWidth="1"/>
    <col min="1537" max="1537" width="17.83203125" style="1" customWidth="1"/>
    <col min="1538" max="1538" width="10.5" style="1" customWidth="1"/>
    <col min="1539" max="1541" width="9" style="1" customWidth="1"/>
    <col min="1542" max="1542" width="8.33203125" style="1" customWidth="1"/>
    <col min="1543" max="1543" width="11.5" style="1" customWidth="1"/>
    <col min="1544" max="1544" width="8.5" style="1" customWidth="1"/>
    <col min="1545" max="1546" width="8" style="1" customWidth="1"/>
    <col min="1547" max="1547" width="7" style="1" customWidth="1"/>
    <col min="1548" max="1548" width="8" style="1" customWidth="1"/>
    <col min="1549" max="1549" width="9" style="1" customWidth="1"/>
    <col min="1550" max="1551" width="8" style="1" customWidth="1"/>
    <col min="1552" max="1552" width="7.33203125" style="1" customWidth="1"/>
    <col min="1553" max="1553" width="7.5" style="1" customWidth="1"/>
    <col min="1554" max="1554" width="10.5" style="1" customWidth="1"/>
    <col min="1555" max="1555" width="9" style="1" customWidth="1"/>
    <col min="1556" max="1556" width="2" style="1" customWidth="1"/>
    <col min="1557" max="1557" width="15.5" style="1" customWidth="1"/>
    <col min="1558" max="1558" width="8.5" style="1" customWidth="1"/>
    <col min="1559" max="1559" width="16.5" style="1" bestFit="1" customWidth="1"/>
    <col min="1560" max="1564" width="8.83203125" style="1"/>
    <col min="1565" max="1565" width="17.1640625" style="1" customWidth="1"/>
    <col min="1566" max="1566" width="16" style="1" customWidth="1"/>
    <col min="1567" max="1567" width="9.6640625" style="1" customWidth="1"/>
    <col min="1568" max="1568" width="11.5" style="1" customWidth="1"/>
    <col min="1569" max="1790" width="8.83203125" style="1"/>
    <col min="1791" max="1791" width="2.5" style="1" customWidth="1"/>
    <col min="1792" max="1792" width="2" style="1" customWidth="1"/>
    <col min="1793" max="1793" width="17.83203125" style="1" customWidth="1"/>
    <col min="1794" max="1794" width="10.5" style="1" customWidth="1"/>
    <col min="1795" max="1797" width="9" style="1" customWidth="1"/>
    <col min="1798" max="1798" width="8.33203125" style="1" customWidth="1"/>
    <col min="1799" max="1799" width="11.5" style="1" customWidth="1"/>
    <col min="1800" max="1800" width="8.5" style="1" customWidth="1"/>
    <col min="1801" max="1802" width="8" style="1" customWidth="1"/>
    <col min="1803" max="1803" width="7" style="1" customWidth="1"/>
    <col min="1804" max="1804" width="8" style="1" customWidth="1"/>
    <col min="1805" max="1805" width="9" style="1" customWidth="1"/>
    <col min="1806" max="1807" width="8" style="1" customWidth="1"/>
    <col min="1808" max="1808" width="7.33203125" style="1" customWidth="1"/>
    <col min="1809" max="1809" width="7.5" style="1" customWidth="1"/>
    <col min="1810" max="1810" width="10.5" style="1" customWidth="1"/>
    <col min="1811" max="1811" width="9" style="1" customWidth="1"/>
    <col min="1812" max="1812" width="2" style="1" customWidth="1"/>
    <col min="1813" max="1813" width="15.5" style="1" customWidth="1"/>
    <col min="1814" max="1814" width="8.5" style="1" customWidth="1"/>
    <col min="1815" max="1815" width="16.5" style="1" bestFit="1" customWidth="1"/>
    <col min="1816" max="1820" width="8.83203125" style="1"/>
    <col min="1821" max="1821" width="17.1640625" style="1" customWidth="1"/>
    <col min="1822" max="1822" width="16" style="1" customWidth="1"/>
    <col min="1823" max="1823" width="9.6640625" style="1" customWidth="1"/>
    <col min="1824" max="1824" width="11.5" style="1" customWidth="1"/>
    <col min="1825" max="2046" width="8.83203125" style="1"/>
    <col min="2047" max="2047" width="2.5" style="1" customWidth="1"/>
    <col min="2048" max="2048" width="2" style="1" customWidth="1"/>
    <col min="2049" max="2049" width="17.83203125" style="1" customWidth="1"/>
    <col min="2050" max="2050" width="10.5" style="1" customWidth="1"/>
    <col min="2051" max="2053" width="9" style="1" customWidth="1"/>
    <col min="2054" max="2054" width="8.33203125" style="1" customWidth="1"/>
    <col min="2055" max="2055" width="11.5" style="1" customWidth="1"/>
    <col min="2056" max="2056" width="8.5" style="1" customWidth="1"/>
    <col min="2057" max="2058" width="8" style="1" customWidth="1"/>
    <col min="2059" max="2059" width="7" style="1" customWidth="1"/>
    <col min="2060" max="2060" width="8" style="1" customWidth="1"/>
    <col min="2061" max="2061" width="9" style="1" customWidth="1"/>
    <col min="2062" max="2063" width="8" style="1" customWidth="1"/>
    <col min="2064" max="2064" width="7.33203125" style="1" customWidth="1"/>
    <col min="2065" max="2065" width="7.5" style="1" customWidth="1"/>
    <col min="2066" max="2066" width="10.5" style="1" customWidth="1"/>
    <col min="2067" max="2067" width="9" style="1" customWidth="1"/>
    <col min="2068" max="2068" width="2" style="1" customWidth="1"/>
    <col min="2069" max="2069" width="15.5" style="1" customWidth="1"/>
    <col min="2070" max="2070" width="8.5" style="1" customWidth="1"/>
    <col min="2071" max="2071" width="16.5" style="1" bestFit="1" customWidth="1"/>
    <col min="2072" max="2076" width="8.83203125" style="1"/>
    <col min="2077" max="2077" width="17.1640625" style="1" customWidth="1"/>
    <col min="2078" max="2078" width="16" style="1" customWidth="1"/>
    <col min="2079" max="2079" width="9.6640625" style="1" customWidth="1"/>
    <col min="2080" max="2080" width="11.5" style="1" customWidth="1"/>
    <col min="2081" max="2302" width="8.83203125" style="1"/>
    <col min="2303" max="2303" width="2.5" style="1" customWidth="1"/>
    <col min="2304" max="2304" width="2" style="1" customWidth="1"/>
    <col min="2305" max="2305" width="17.83203125" style="1" customWidth="1"/>
    <col min="2306" max="2306" width="10.5" style="1" customWidth="1"/>
    <col min="2307" max="2309" width="9" style="1" customWidth="1"/>
    <col min="2310" max="2310" width="8.33203125" style="1" customWidth="1"/>
    <col min="2311" max="2311" width="11.5" style="1" customWidth="1"/>
    <col min="2312" max="2312" width="8.5" style="1" customWidth="1"/>
    <col min="2313" max="2314" width="8" style="1" customWidth="1"/>
    <col min="2315" max="2315" width="7" style="1" customWidth="1"/>
    <col min="2316" max="2316" width="8" style="1" customWidth="1"/>
    <col min="2317" max="2317" width="9" style="1" customWidth="1"/>
    <col min="2318" max="2319" width="8" style="1" customWidth="1"/>
    <col min="2320" max="2320" width="7.33203125" style="1" customWidth="1"/>
    <col min="2321" max="2321" width="7.5" style="1" customWidth="1"/>
    <col min="2322" max="2322" width="10.5" style="1" customWidth="1"/>
    <col min="2323" max="2323" width="9" style="1" customWidth="1"/>
    <col min="2324" max="2324" width="2" style="1" customWidth="1"/>
    <col min="2325" max="2325" width="15.5" style="1" customWidth="1"/>
    <col min="2326" max="2326" width="8.5" style="1" customWidth="1"/>
    <col min="2327" max="2327" width="16.5" style="1" bestFit="1" customWidth="1"/>
    <col min="2328" max="2332" width="8.83203125" style="1"/>
    <col min="2333" max="2333" width="17.1640625" style="1" customWidth="1"/>
    <col min="2334" max="2334" width="16" style="1" customWidth="1"/>
    <col min="2335" max="2335" width="9.6640625" style="1" customWidth="1"/>
    <col min="2336" max="2336" width="11.5" style="1" customWidth="1"/>
    <col min="2337" max="2558" width="8.83203125" style="1"/>
    <col min="2559" max="2559" width="2.5" style="1" customWidth="1"/>
    <col min="2560" max="2560" width="2" style="1" customWidth="1"/>
    <col min="2561" max="2561" width="17.83203125" style="1" customWidth="1"/>
    <col min="2562" max="2562" width="10.5" style="1" customWidth="1"/>
    <col min="2563" max="2565" width="9" style="1" customWidth="1"/>
    <col min="2566" max="2566" width="8.33203125" style="1" customWidth="1"/>
    <col min="2567" max="2567" width="11.5" style="1" customWidth="1"/>
    <col min="2568" max="2568" width="8.5" style="1" customWidth="1"/>
    <col min="2569" max="2570" width="8" style="1" customWidth="1"/>
    <col min="2571" max="2571" width="7" style="1" customWidth="1"/>
    <col min="2572" max="2572" width="8" style="1" customWidth="1"/>
    <col min="2573" max="2573" width="9" style="1" customWidth="1"/>
    <col min="2574" max="2575" width="8" style="1" customWidth="1"/>
    <col min="2576" max="2576" width="7.33203125" style="1" customWidth="1"/>
    <col min="2577" max="2577" width="7.5" style="1" customWidth="1"/>
    <col min="2578" max="2578" width="10.5" style="1" customWidth="1"/>
    <col min="2579" max="2579" width="9" style="1" customWidth="1"/>
    <col min="2580" max="2580" width="2" style="1" customWidth="1"/>
    <col min="2581" max="2581" width="15.5" style="1" customWidth="1"/>
    <col min="2582" max="2582" width="8.5" style="1" customWidth="1"/>
    <col min="2583" max="2583" width="16.5" style="1" bestFit="1" customWidth="1"/>
    <col min="2584" max="2588" width="8.83203125" style="1"/>
    <col min="2589" max="2589" width="17.1640625" style="1" customWidth="1"/>
    <col min="2590" max="2590" width="16" style="1" customWidth="1"/>
    <col min="2591" max="2591" width="9.6640625" style="1" customWidth="1"/>
    <col min="2592" max="2592" width="11.5" style="1" customWidth="1"/>
    <col min="2593" max="2814" width="8.83203125" style="1"/>
    <col min="2815" max="2815" width="2.5" style="1" customWidth="1"/>
    <col min="2816" max="2816" width="2" style="1" customWidth="1"/>
    <col min="2817" max="2817" width="17.83203125" style="1" customWidth="1"/>
    <col min="2818" max="2818" width="10.5" style="1" customWidth="1"/>
    <col min="2819" max="2821" width="9" style="1" customWidth="1"/>
    <col min="2822" max="2822" width="8.33203125" style="1" customWidth="1"/>
    <col min="2823" max="2823" width="11.5" style="1" customWidth="1"/>
    <col min="2824" max="2824" width="8.5" style="1" customWidth="1"/>
    <col min="2825" max="2826" width="8" style="1" customWidth="1"/>
    <col min="2827" max="2827" width="7" style="1" customWidth="1"/>
    <col min="2828" max="2828" width="8" style="1" customWidth="1"/>
    <col min="2829" max="2829" width="9" style="1" customWidth="1"/>
    <col min="2830" max="2831" width="8" style="1" customWidth="1"/>
    <col min="2832" max="2832" width="7.33203125" style="1" customWidth="1"/>
    <col min="2833" max="2833" width="7.5" style="1" customWidth="1"/>
    <col min="2834" max="2834" width="10.5" style="1" customWidth="1"/>
    <col min="2835" max="2835" width="9" style="1" customWidth="1"/>
    <col min="2836" max="2836" width="2" style="1" customWidth="1"/>
    <col min="2837" max="2837" width="15.5" style="1" customWidth="1"/>
    <col min="2838" max="2838" width="8.5" style="1" customWidth="1"/>
    <col min="2839" max="2839" width="16.5" style="1" bestFit="1" customWidth="1"/>
    <col min="2840" max="2844" width="8.83203125" style="1"/>
    <col min="2845" max="2845" width="17.1640625" style="1" customWidth="1"/>
    <col min="2846" max="2846" width="16" style="1" customWidth="1"/>
    <col min="2847" max="2847" width="9.6640625" style="1" customWidth="1"/>
    <col min="2848" max="2848" width="11.5" style="1" customWidth="1"/>
    <col min="2849" max="3070" width="8.83203125" style="1"/>
    <col min="3071" max="3071" width="2.5" style="1" customWidth="1"/>
    <col min="3072" max="3072" width="2" style="1" customWidth="1"/>
    <col min="3073" max="3073" width="17.83203125" style="1" customWidth="1"/>
    <col min="3074" max="3074" width="10.5" style="1" customWidth="1"/>
    <col min="3075" max="3077" width="9" style="1" customWidth="1"/>
    <col min="3078" max="3078" width="8.33203125" style="1" customWidth="1"/>
    <col min="3079" max="3079" width="11.5" style="1" customWidth="1"/>
    <col min="3080" max="3080" width="8.5" style="1" customWidth="1"/>
    <col min="3081" max="3082" width="8" style="1" customWidth="1"/>
    <col min="3083" max="3083" width="7" style="1" customWidth="1"/>
    <col min="3084" max="3084" width="8" style="1" customWidth="1"/>
    <col min="3085" max="3085" width="9" style="1" customWidth="1"/>
    <col min="3086" max="3087" width="8" style="1" customWidth="1"/>
    <col min="3088" max="3088" width="7.33203125" style="1" customWidth="1"/>
    <col min="3089" max="3089" width="7.5" style="1" customWidth="1"/>
    <col min="3090" max="3090" width="10.5" style="1" customWidth="1"/>
    <col min="3091" max="3091" width="9" style="1" customWidth="1"/>
    <col min="3092" max="3092" width="2" style="1" customWidth="1"/>
    <col min="3093" max="3093" width="15.5" style="1" customWidth="1"/>
    <col min="3094" max="3094" width="8.5" style="1" customWidth="1"/>
    <col min="3095" max="3095" width="16.5" style="1" bestFit="1" customWidth="1"/>
    <col min="3096" max="3100" width="8.83203125" style="1"/>
    <col min="3101" max="3101" width="17.1640625" style="1" customWidth="1"/>
    <col min="3102" max="3102" width="16" style="1" customWidth="1"/>
    <col min="3103" max="3103" width="9.6640625" style="1" customWidth="1"/>
    <col min="3104" max="3104" width="11.5" style="1" customWidth="1"/>
    <col min="3105" max="3326" width="8.83203125" style="1"/>
    <col min="3327" max="3327" width="2.5" style="1" customWidth="1"/>
    <col min="3328" max="3328" width="2" style="1" customWidth="1"/>
    <col min="3329" max="3329" width="17.83203125" style="1" customWidth="1"/>
    <col min="3330" max="3330" width="10.5" style="1" customWidth="1"/>
    <col min="3331" max="3333" width="9" style="1" customWidth="1"/>
    <col min="3334" max="3334" width="8.33203125" style="1" customWidth="1"/>
    <col min="3335" max="3335" width="11.5" style="1" customWidth="1"/>
    <col min="3336" max="3336" width="8.5" style="1" customWidth="1"/>
    <col min="3337" max="3338" width="8" style="1" customWidth="1"/>
    <col min="3339" max="3339" width="7" style="1" customWidth="1"/>
    <col min="3340" max="3340" width="8" style="1" customWidth="1"/>
    <col min="3341" max="3341" width="9" style="1" customWidth="1"/>
    <col min="3342" max="3343" width="8" style="1" customWidth="1"/>
    <col min="3344" max="3344" width="7.33203125" style="1" customWidth="1"/>
    <col min="3345" max="3345" width="7.5" style="1" customWidth="1"/>
    <col min="3346" max="3346" width="10.5" style="1" customWidth="1"/>
    <col min="3347" max="3347" width="9" style="1" customWidth="1"/>
    <col min="3348" max="3348" width="2" style="1" customWidth="1"/>
    <col min="3349" max="3349" width="15.5" style="1" customWidth="1"/>
    <col min="3350" max="3350" width="8.5" style="1" customWidth="1"/>
    <col min="3351" max="3351" width="16.5" style="1" bestFit="1" customWidth="1"/>
    <col min="3352" max="3356" width="8.83203125" style="1"/>
    <col min="3357" max="3357" width="17.1640625" style="1" customWidth="1"/>
    <col min="3358" max="3358" width="16" style="1" customWidth="1"/>
    <col min="3359" max="3359" width="9.6640625" style="1" customWidth="1"/>
    <col min="3360" max="3360" width="11.5" style="1" customWidth="1"/>
    <col min="3361" max="3582" width="8.83203125" style="1"/>
    <col min="3583" max="3583" width="2.5" style="1" customWidth="1"/>
    <col min="3584" max="3584" width="2" style="1" customWidth="1"/>
    <col min="3585" max="3585" width="17.83203125" style="1" customWidth="1"/>
    <col min="3586" max="3586" width="10.5" style="1" customWidth="1"/>
    <col min="3587" max="3589" width="9" style="1" customWidth="1"/>
    <col min="3590" max="3590" width="8.33203125" style="1" customWidth="1"/>
    <col min="3591" max="3591" width="11.5" style="1" customWidth="1"/>
    <col min="3592" max="3592" width="8.5" style="1" customWidth="1"/>
    <col min="3593" max="3594" width="8" style="1" customWidth="1"/>
    <col min="3595" max="3595" width="7" style="1" customWidth="1"/>
    <col min="3596" max="3596" width="8" style="1" customWidth="1"/>
    <col min="3597" max="3597" width="9" style="1" customWidth="1"/>
    <col min="3598" max="3599" width="8" style="1" customWidth="1"/>
    <col min="3600" max="3600" width="7.33203125" style="1" customWidth="1"/>
    <col min="3601" max="3601" width="7.5" style="1" customWidth="1"/>
    <col min="3602" max="3602" width="10.5" style="1" customWidth="1"/>
    <col min="3603" max="3603" width="9" style="1" customWidth="1"/>
    <col min="3604" max="3604" width="2" style="1" customWidth="1"/>
    <col min="3605" max="3605" width="15.5" style="1" customWidth="1"/>
    <col min="3606" max="3606" width="8.5" style="1" customWidth="1"/>
    <col min="3607" max="3607" width="16.5" style="1" bestFit="1" customWidth="1"/>
    <col min="3608" max="3612" width="8.83203125" style="1"/>
    <col min="3613" max="3613" width="17.1640625" style="1" customWidth="1"/>
    <col min="3614" max="3614" width="16" style="1" customWidth="1"/>
    <col min="3615" max="3615" width="9.6640625" style="1" customWidth="1"/>
    <col min="3616" max="3616" width="11.5" style="1" customWidth="1"/>
    <col min="3617" max="3838" width="8.83203125" style="1"/>
    <col min="3839" max="3839" width="2.5" style="1" customWidth="1"/>
    <col min="3840" max="3840" width="2" style="1" customWidth="1"/>
    <col min="3841" max="3841" width="17.83203125" style="1" customWidth="1"/>
    <col min="3842" max="3842" width="10.5" style="1" customWidth="1"/>
    <col min="3843" max="3845" width="9" style="1" customWidth="1"/>
    <col min="3846" max="3846" width="8.33203125" style="1" customWidth="1"/>
    <col min="3847" max="3847" width="11.5" style="1" customWidth="1"/>
    <col min="3848" max="3848" width="8.5" style="1" customWidth="1"/>
    <col min="3849" max="3850" width="8" style="1" customWidth="1"/>
    <col min="3851" max="3851" width="7" style="1" customWidth="1"/>
    <col min="3852" max="3852" width="8" style="1" customWidth="1"/>
    <col min="3853" max="3853" width="9" style="1" customWidth="1"/>
    <col min="3854" max="3855" width="8" style="1" customWidth="1"/>
    <col min="3856" max="3856" width="7.33203125" style="1" customWidth="1"/>
    <col min="3857" max="3857" width="7.5" style="1" customWidth="1"/>
    <col min="3858" max="3858" width="10.5" style="1" customWidth="1"/>
    <col min="3859" max="3859" width="9" style="1" customWidth="1"/>
    <col min="3860" max="3860" width="2" style="1" customWidth="1"/>
    <col min="3861" max="3861" width="15.5" style="1" customWidth="1"/>
    <col min="3862" max="3862" width="8.5" style="1" customWidth="1"/>
    <col min="3863" max="3863" width="16.5" style="1" bestFit="1" customWidth="1"/>
    <col min="3864" max="3868" width="8.83203125" style="1"/>
    <col min="3869" max="3869" width="17.1640625" style="1" customWidth="1"/>
    <col min="3870" max="3870" width="16" style="1" customWidth="1"/>
    <col min="3871" max="3871" width="9.6640625" style="1" customWidth="1"/>
    <col min="3872" max="3872" width="11.5" style="1" customWidth="1"/>
    <col min="3873" max="4094" width="8.83203125" style="1"/>
    <col min="4095" max="4095" width="2.5" style="1" customWidth="1"/>
    <col min="4096" max="4096" width="2" style="1" customWidth="1"/>
    <col min="4097" max="4097" width="17.83203125" style="1" customWidth="1"/>
    <col min="4098" max="4098" width="10.5" style="1" customWidth="1"/>
    <col min="4099" max="4101" width="9" style="1" customWidth="1"/>
    <col min="4102" max="4102" width="8.33203125" style="1" customWidth="1"/>
    <col min="4103" max="4103" width="11.5" style="1" customWidth="1"/>
    <col min="4104" max="4104" width="8.5" style="1" customWidth="1"/>
    <col min="4105" max="4106" width="8" style="1" customWidth="1"/>
    <col min="4107" max="4107" width="7" style="1" customWidth="1"/>
    <col min="4108" max="4108" width="8" style="1" customWidth="1"/>
    <col min="4109" max="4109" width="9" style="1" customWidth="1"/>
    <col min="4110" max="4111" width="8" style="1" customWidth="1"/>
    <col min="4112" max="4112" width="7.33203125" style="1" customWidth="1"/>
    <col min="4113" max="4113" width="7.5" style="1" customWidth="1"/>
    <col min="4114" max="4114" width="10.5" style="1" customWidth="1"/>
    <col min="4115" max="4115" width="9" style="1" customWidth="1"/>
    <col min="4116" max="4116" width="2" style="1" customWidth="1"/>
    <col min="4117" max="4117" width="15.5" style="1" customWidth="1"/>
    <col min="4118" max="4118" width="8.5" style="1" customWidth="1"/>
    <col min="4119" max="4119" width="16.5" style="1" bestFit="1" customWidth="1"/>
    <col min="4120" max="4124" width="8.83203125" style="1"/>
    <col min="4125" max="4125" width="17.1640625" style="1" customWidth="1"/>
    <col min="4126" max="4126" width="16" style="1" customWidth="1"/>
    <col min="4127" max="4127" width="9.6640625" style="1" customWidth="1"/>
    <col min="4128" max="4128" width="11.5" style="1" customWidth="1"/>
    <col min="4129" max="4350" width="8.83203125" style="1"/>
    <col min="4351" max="4351" width="2.5" style="1" customWidth="1"/>
    <col min="4352" max="4352" width="2" style="1" customWidth="1"/>
    <col min="4353" max="4353" width="17.83203125" style="1" customWidth="1"/>
    <col min="4354" max="4354" width="10.5" style="1" customWidth="1"/>
    <col min="4355" max="4357" width="9" style="1" customWidth="1"/>
    <col min="4358" max="4358" width="8.33203125" style="1" customWidth="1"/>
    <col min="4359" max="4359" width="11.5" style="1" customWidth="1"/>
    <col min="4360" max="4360" width="8.5" style="1" customWidth="1"/>
    <col min="4361" max="4362" width="8" style="1" customWidth="1"/>
    <col min="4363" max="4363" width="7" style="1" customWidth="1"/>
    <col min="4364" max="4364" width="8" style="1" customWidth="1"/>
    <col min="4365" max="4365" width="9" style="1" customWidth="1"/>
    <col min="4366" max="4367" width="8" style="1" customWidth="1"/>
    <col min="4368" max="4368" width="7.33203125" style="1" customWidth="1"/>
    <col min="4369" max="4369" width="7.5" style="1" customWidth="1"/>
    <col min="4370" max="4370" width="10.5" style="1" customWidth="1"/>
    <col min="4371" max="4371" width="9" style="1" customWidth="1"/>
    <col min="4372" max="4372" width="2" style="1" customWidth="1"/>
    <col min="4373" max="4373" width="15.5" style="1" customWidth="1"/>
    <col min="4374" max="4374" width="8.5" style="1" customWidth="1"/>
    <col min="4375" max="4375" width="16.5" style="1" bestFit="1" customWidth="1"/>
    <col min="4376" max="4380" width="8.83203125" style="1"/>
    <col min="4381" max="4381" width="17.1640625" style="1" customWidth="1"/>
    <col min="4382" max="4382" width="16" style="1" customWidth="1"/>
    <col min="4383" max="4383" width="9.6640625" style="1" customWidth="1"/>
    <col min="4384" max="4384" width="11.5" style="1" customWidth="1"/>
    <col min="4385" max="4606" width="8.83203125" style="1"/>
    <col min="4607" max="4607" width="2.5" style="1" customWidth="1"/>
    <col min="4608" max="4608" width="2" style="1" customWidth="1"/>
    <col min="4609" max="4609" width="17.83203125" style="1" customWidth="1"/>
    <col min="4610" max="4610" width="10.5" style="1" customWidth="1"/>
    <col min="4611" max="4613" width="9" style="1" customWidth="1"/>
    <col min="4614" max="4614" width="8.33203125" style="1" customWidth="1"/>
    <col min="4615" max="4615" width="11.5" style="1" customWidth="1"/>
    <col min="4616" max="4616" width="8.5" style="1" customWidth="1"/>
    <col min="4617" max="4618" width="8" style="1" customWidth="1"/>
    <col min="4619" max="4619" width="7" style="1" customWidth="1"/>
    <col min="4620" max="4620" width="8" style="1" customWidth="1"/>
    <col min="4621" max="4621" width="9" style="1" customWidth="1"/>
    <col min="4622" max="4623" width="8" style="1" customWidth="1"/>
    <col min="4624" max="4624" width="7.33203125" style="1" customWidth="1"/>
    <col min="4625" max="4625" width="7.5" style="1" customWidth="1"/>
    <col min="4626" max="4626" width="10.5" style="1" customWidth="1"/>
    <col min="4627" max="4627" width="9" style="1" customWidth="1"/>
    <col min="4628" max="4628" width="2" style="1" customWidth="1"/>
    <col min="4629" max="4629" width="15.5" style="1" customWidth="1"/>
    <col min="4630" max="4630" width="8.5" style="1" customWidth="1"/>
    <col min="4631" max="4631" width="16.5" style="1" bestFit="1" customWidth="1"/>
    <col min="4632" max="4636" width="8.83203125" style="1"/>
    <col min="4637" max="4637" width="17.1640625" style="1" customWidth="1"/>
    <col min="4638" max="4638" width="16" style="1" customWidth="1"/>
    <col min="4639" max="4639" width="9.6640625" style="1" customWidth="1"/>
    <col min="4640" max="4640" width="11.5" style="1" customWidth="1"/>
    <col min="4641" max="4862" width="8.83203125" style="1"/>
    <col min="4863" max="4863" width="2.5" style="1" customWidth="1"/>
    <col min="4864" max="4864" width="2" style="1" customWidth="1"/>
    <col min="4865" max="4865" width="17.83203125" style="1" customWidth="1"/>
    <col min="4866" max="4866" width="10.5" style="1" customWidth="1"/>
    <col min="4867" max="4869" width="9" style="1" customWidth="1"/>
    <col min="4870" max="4870" width="8.33203125" style="1" customWidth="1"/>
    <col min="4871" max="4871" width="11.5" style="1" customWidth="1"/>
    <col min="4872" max="4872" width="8.5" style="1" customWidth="1"/>
    <col min="4873" max="4874" width="8" style="1" customWidth="1"/>
    <col min="4875" max="4875" width="7" style="1" customWidth="1"/>
    <col min="4876" max="4876" width="8" style="1" customWidth="1"/>
    <col min="4877" max="4877" width="9" style="1" customWidth="1"/>
    <col min="4878" max="4879" width="8" style="1" customWidth="1"/>
    <col min="4880" max="4880" width="7.33203125" style="1" customWidth="1"/>
    <col min="4881" max="4881" width="7.5" style="1" customWidth="1"/>
    <col min="4882" max="4882" width="10.5" style="1" customWidth="1"/>
    <col min="4883" max="4883" width="9" style="1" customWidth="1"/>
    <col min="4884" max="4884" width="2" style="1" customWidth="1"/>
    <col min="4885" max="4885" width="15.5" style="1" customWidth="1"/>
    <col min="4886" max="4886" width="8.5" style="1" customWidth="1"/>
    <col min="4887" max="4887" width="16.5" style="1" bestFit="1" customWidth="1"/>
    <col min="4888" max="4892" width="8.83203125" style="1"/>
    <col min="4893" max="4893" width="17.1640625" style="1" customWidth="1"/>
    <col min="4894" max="4894" width="16" style="1" customWidth="1"/>
    <col min="4895" max="4895" width="9.6640625" style="1" customWidth="1"/>
    <col min="4896" max="4896" width="11.5" style="1" customWidth="1"/>
    <col min="4897" max="5118" width="8.83203125" style="1"/>
    <col min="5119" max="5119" width="2.5" style="1" customWidth="1"/>
    <col min="5120" max="5120" width="2" style="1" customWidth="1"/>
    <col min="5121" max="5121" width="17.83203125" style="1" customWidth="1"/>
    <col min="5122" max="5122" width="10.5" style="1" customWidth="1"/>
    <col min="5123" max="5125" width="9" style="1" customWidth="1"/>
    <col min="5126" max="5126" width="8.33203125" style="1" customWidth="1"/>
    <col min="5127" max="5127" width="11.5" style="1" customWidth="1"/>
    <col min="5128" max="5128" width="8.5" style="1" customWidth="1"/>
    <col min="5129" max="5130" width="8" style="1" customWidth="1"/>
    <col min="5131" max="5131" width="7" style="1" customWidth="1"/>
    <col min="5132" max="5132" width="8" style="1" customWidth="1"/>
    <col min="5133" max="5133" width="9" style="1" customWidth="1"/>
    <col min="5134" max="5135" width="8" style="1" customWidth="1"/>
    <col min="5136" max="5136" width="7.33203125" style="1" customWidth="1"/>
    <col min="5137" max="5137" width="7.5" style="1" customWidth="1"/>
    <col min="5138" max="5138" width="10.5" style="1" customWidth="1"/>
    <col min="5139" max="5139" width="9" style="1" customWidth="1"/>
    <col min="5140" max="5140" width="2" style="1" customWidth="1"/>
    <col min="5141" max="5141" width="15.5" style="1" customWidth="1"/>
    <col min="5142" max="5142" width="8.5" style="1" customWidth="1"/>
    <col min="5143" max="5143" width="16.5" style="1" bestFit="1" customWidth="1"/>
    <col min="5144" max="5148" width="8.83203125" style="1"/>
    <col min="5149" max="5149" width="17.1640625" style="1" customWidth="1"/>
    <col min="5150" max="5150" width="16" style="1" customWidth="1"/>
    <col min="5151" max="5151" width="9.6640625" style="1" customWidth="1"/>
    <col min="5152" max="5152" width="11.5" style="1" customWidth="1"/>
    <col min="5153" max="5374" width="8.83203125" style="1"/>
    <col min="5375" max="5375" width="2.5" style="1" customWidth="1"/>
    <col min="5376" max="5376" width="2" style="1" customWidth="1"/>
    <col min="5377" max="5377" width="17.83203125" style="1" customWidth="1"/>
    <col min="5378" max="5378" width="10.5" style="1" customWidth="1"/>
    <col min="5379" max="5381" width="9" style="1" customWidth="1"/>
    <col min="5382" max="5382" width="8.33203125" style="1" customWidth="1"/>
    <col min="5383" max="5383" width="11.5" style="1" customWidth="1"/>
    <col min="5384" max="5384" width="8.5" style="1" customWidth="1"/>
    <col min="5385" max="5386" width="8" style="1" customWidth="1"/>
    <col min="5387" max="5387" width="7" style="1" customWidth="1"/>
    <col min="5388" max="5388" width="8" style="1" customWidth="1"/>
    <col min="5389" max="5389" width="9" style="1" customWidth="1"/>
    <col min="5390" max="5391" width="8" style="1" customWidth="1"/>
    <col min="5392" max="5392" width="7.33203125" style="1" customWidth="1"/>
    <col min="5393" max="5393" width="7.5" style="1" customWidth="1"/>
    <col min="5394" max="5394" width="10.5" style="1" customWidth="1"/>
    <col min="5395" max="5395" width="9" style="1" customWidth="1"/>
    <col min="5396" max="5396" width="2" style="1" customWidth="1"/>
    <col min="5397" max="5397" width="15.5" style="1" customWidth="1"/>
    <col min="5398" max="5398" width="8.5" style="1" customWidth="1"/>
    <col min="5399" max="5399" width="16.5" style="1" bestFit="1" customWidth="1"/>
    <col min="5400" max="5404" width="8.83203125" style="1"/>
    <col min="5405" max="5405" width="17.1640625" style="1" customWidth="1"/>
    <col min="5406" max="5406" width="16" style="1" customWidth="1"/>
    <col min="5407" max="5407" width="9.6640625" style="1" customWidth="1"/>
    <col min="5408" max="5408" width="11.5" style="1" customWidth="1"/>
    <col min="5409" max="5630" width="8.83203125" style="1"/>
    <col min="5631" max="5631" width="2.5" style="1" customWidth="1"/>
    <col min="5632" max="5632" width="2" style="1" customWidth="1"/>
    <col min="5633" max="5633" width="17.83203125" style="1" customWidth="1"/>
    <col min="5634" max="5634" width="10.5" style="1" customWidth="1"/>
    <col min="5635" max="5637" width="9" style="1" customWidth="1"/>
    <col min="5638" max="5638" width="8.33203125" style="1" customWidth="1"/>
    <col min="5639" max="5639" width="11.5" style="1" customWidth="1"/>
    <col min="5640" max="5640" width="8.5" style="1" customWidth="1"/>
    <col min="5641" max="5642" width="8" style="1" customWidth="1"/>
    <col min="5643" max="5643" width="7" style="1" customWidth="1"/>
    <col min="5644" max="5644" width="8" style="1" customWidth="1"/>
    <col min="5645" max="5645" width="9" style="1" customWidth="1"/>
    <col min="5646" max="5647" width="8" style="1" customWidth="1"/>
    <col min="5648" max="5648" width="7.33203125" style="1" customWidth="1"/>
    <col min="5649" max="5649" width="7.5" style="1" customWidth="1"/>
    <col min="5650" max="5650" width="10.5" style="1" customWidth="1"/>
    <col min="5651" max="5651" width="9" style="1" customWidth="1"/>
    <col min="5652" max="5652" width="2" style="1" customWidth="1"/>
    <col min="5653" max="5653" width="15.5" style="1" customWidth="1"/>
    <col min="5654" max="5654" width="8.5" style="1" customWidth="1"/>
    <col min="5655" max="5655" width="16.5" style="1" bestFit="1" customWidth="1"/>
    <col min="5656" max="5660" width="8.83203125" style="1"/>
    <col min="5661" max="5661" width="17.1640625" style="1" customWidth="1"/>
    <col min="5662" max="5662" width="16" style="1" customWidth="1"/>
    <col min="5663" max="5663" width="9.6640625" style="1" customWidth="1"/>
    <col min="5664" max="5664" width="11.5" style="1" customWidth="1"/>
    <col min="5665" max="5886" width="8.83203125" style="1"/>
    <col min="5887" max="5887" width="2.5" style="1" customWidth="1"/>
    <col min="5888" max="5888" width="2" style="1" customWidth="1"/>
    <col min="5889" max="5889" width="17.83203125" style="1" customWidth="1"/>
    <col min="5890" max="5890" width="10.5" style="1" customWidth="1"/>
    <col min="5891" max="5893" width="9" style="1" customWidth="1"/>
    <col min="5894" max="5894" width="8.33203125" style="1" customWidth="1"/>
    <col min="5895" max="5895" width="11.5" style="1" customWidth="1"/>
    <col min="5896" max="5896" width="8.5" style="1" customWidth="1"/>
    <col min="5897" max="5898" width="8" style="1" customWidth="1"/>
    <col min="5899" max="5899" width="7" style="1" customWidth="1"/>
    <col min="5900" max="5900" width="8" style="1" customWidth="1"/>
    <col min="5901" max="5901" width="9" style="1" customWidth="1"/>
    <col min="5902" max="5903" width="8" style="1" customWidth="1"/>
    <col min="5904" max="5904" width="7.33203125" style="1" customWidth="1"/>
    <col min="5905" max="5905" width="7.5" style="1" customWidth="1"/>
    <col min="5906" max="5906" width="10.5" style="1" customWidth="1"/>
    <col min="5907" max="5907" width="9" style="1" customWidth="1"/>
    <col min="5908" max="5908" width="2" style="1" customWidth="1"/>
    <col min="5909" max="5909" width="15.5" style="1" customWidth="1"/>
    <col min="5910" max="5910" width="8.5" style="1" customWidth="1"/>
    <col min="5911" max="5911" width="16.5" style="1" bestFit="1" customWidth="1"/>
    <col min="5912" max="5916" width="8.83203125" style="1"/>
    <col min="5917" max="5917" width="17.1640625" style="1" customWidth="1"/>
    <col min="5918" max="5918" width="16" style="1" customWidth="1"/>
    <col min="5919" max="5919" width="9.6640625" style="1" customWidth="1"/>
    <col min="5920" max="5920" width="11.5" style="1" customWidth="1"/>
    <col min="5921" max="6142" width="8.83203125" style="1"/>
    <col min="6143" max="6143" width="2.5" style="1" customWidth="1"/>
    <col min="6144" max="6144" width="2" style="1" customWidth="1"/>
    <col min="6145" max="6145" width="17.83203125" style="1" customWidth="1"/>
    <col min="6146" max="6146" width="10.5" style="1" customWidth="1"/>
    <col min="6147" max="6149" width="9" style="1" customWidth="1"/>
    <col min="6150" max="6150" width="8.33203125" style="1" customWidth="1"/>
    <col min="6151" max="6151" width="11.5" style="1" customWidth="1"/>
    <col min="6152" max="6152" width="8.5" style="1" customWidth="1"/>
    <col min="6153" max="6154" width="8" style="1" customWidth="1"/>
    <col min="6155" max="6155" width="7" style="1" customWidth="1"/>
    <col min="6156" max="6156" width="8" style="1" customWidth="1"/>
    <col min="6157" max="6157" width="9" style="1" customWidth="1"/>
    <col min="6158" max="6159" width="8" style="1" customWidth="1"/>
    <col min="6160" max="6160" width="7.33203125" style="1" customWidth="1"/>
    <col min="6161" max="6161" width="7.5" style="1" customWidth="1"/>
    <col min="6162" max="6162" width="10.5" style="1" customWidth="1"/>
    <col min="6163" max="6163" width="9" style="1" customWidth="1"/>
    <col min="6164" max="6164" width="2" style="1" customWidth="1"/>
    <col min="6165" max="6165" width="15.5" style="1" customWidth="1"/>
    <col min="6166" max="6166" width="8.5" style="1" customWidth="1"/>
    <col min="6167" max="6167" width="16.5" style="1" bestFit="1" customWidth="1"/>
    <col min="6168" max="6172" width="8.83203125" style="1"/>
    <col min="6173" max="6173" width="17.1640625" style="1" customWidth="1"/>
    <col min="6174" max="6174" width="16" style="1" customWidth="1"/>
    <col min="6175" max="6175" width="9.6640625" style="1" customWidth="1"/>
    <col min="6176" max="6176" width="11.5" style="1" customWidth="1"/>
    <col min="6177" max="6398" width="8.83203125" style="1"/>
    <col min="6399" max="6399" width="2.5" style="1" customWidth="1"/>
    <col min="6400" max="6400" width="2" style="1" customWidth="1"/>
    <col min="6401" max="6401" width="17.83203125" style="1" customWidth="1"/>
    <col min="6402" max="6402" width="10.5" style="1" customWidth="1"/>
    <col min="6403" max="6405" width="9" style="1" customWidth="1"/>
    <col min="6406" max="6406" width="8.33203125" style="1" customWidth="1"/>
    <col min="6407" max="6407" width="11.5" style="1" customWidth="1"/>
    <col min="6408" max="6408" width="8.5" style="1" customWidth="1"/>
    <col min="6409" max="6410" width="8" style="1" customWidth="1"/>
    <col min="6411" max="6411" width="7" style="1" customWidth="1"/>
    <col min="6412" max="6412" width="8" style="1" customWidth="1"/>
    <col min="6413" max="6413" width="9" style="1" customWidth="1"/>
    <col min="6414" max="6415" width="8" style="1" customWidth="1"/>
    <col min="6416" max="6416" width="7.33203125" style="1" customWidth="1"/>
    <col min="6417" max="6417" width="7.5" style="1" customWidth="1"/>
    <col min="6418" max="6418" width="10.5" style="1" customWidth="1"/>
    <col min="6419" max="6419" width="9" style="1" customWidth="1"/>
    <col min="6420" max="6420" width="2" style="1" customWidth="1"/>
    <col min="6421" max="6421" width="15.5" style="1" customWidth="1"/>
    <col min="6422" max="6422" width="8.5" style="1" customWidth="1"/>
    <col min="6423" max="6423" width="16.5" style="1" bestFit="1" customWidth="1"/>
    <col min="6424" max="6428" width="8.83203125" style="1"/>
    <col min="6429" max="6429" width="17.1640625" style="1" customWidth="1"/>
    <col min="6430" max="6430" width="16" style="1" customWidth="1"/>
    <col min="6431" max="6431" width="9.6640625" style="1" customWidth="1"/>
    <col min="6432" max="6432" width="11.5" style="1" customWidth="1"/>
    <col min="6433" max="6654" width="8.83203125" style="1"/>
    <col min="6655" max="6655" width="2.5" style="1" customWidth="1"/>
    <col min="6656" max="6656" width="2" style="1" customWidth="1"/>
    <col min="6657" max="6657" width="17.83203125" style="1" customWidth="1"/>
    <col min="6658" max="6658" width="10.5" style="1" customWidth="1"/>
    <col min="6659" max="6661" width="9" style="1" customWidth="1"/>
    <col min="6662" max="6662" width="8.33203125" style="1" customWidth="1"/>
    <col min="6663" max="6663" width="11.5" style="1" customWidth="1"/>
    <col min="6664" max="6664" width="8.5" style="1" customWidth="1"/>
    <col min="6665" max="6666" width="8" style="1" customWidth="1"/>
    <col min="6667" max="6667" width="7" style="1" customWidth="1"/>
    <col min="6668" max="6668" width="8" style="1" customWidth="1"/>
    <col min="6669" max="6669" width="9" style="1" customWidth="1"/>
    <col min="6670" max="6671" width="8" style="1" customWidth="1"/>
    <col min="6672" max="6672" width="7.33203125" style="1" customWidth="1"/>
    <col min="6673" max="6673" width="7.5" style="1" customWidth="1"/>
    <col min="6674" max="6674" width="10.5" style="1" customWidth="1"/>
    <col min="6675" max="6675" width="9" style="1" customWidth="1"/>
    <col min="6676" max="6676" width="2" style="1" customWidth="1"/>
    <col min="6677" max="6677" width="15.5" style="1" customWidth="1"/>
    <col min="6678" max="6678" width="8.5" style="1" customWidth="1"/>
    <col min="6679" max="6679" width="16.5" style="1" bestFit="1" customWidth="1"/>
    <col min="6680" max="6684" width="8.83203125" style="1"/>
    <col min="6685" max="6685" width="17.1640625" style="1" customWidth="1"/>
    <col min="6686" max="6686" width="16" style="1" customWidth="1"/>
    <col min="6687" max="6687" width="9.6640625" style="1" customWidth="1"/>
    <col min="6688" max="6688" width="11.5" style="1" customWidth="1"/>
    <col min="6689" max="6910" width="8.83203125" style="1"/>
    <col min="6911" max="6911" width="2.5" style="1" customWidth="1"/>
    <col min="6912" max="6912" width="2" style="1" customWidth="1"/>
    <col min="6913" max="6913" width="17.83203125" style="1" customWidth="1"/>
    <col min="6914" max="6914" width="10.5" style="1" customWidth="1"/>
    <col min="6915" max="6917" width="9" style="1" customWidth="1"/>
    <col min="6918" max="6918" width="8.33203125" style="1" customWidth="1"/>
    <col min="6919" max="6919" width="11.5" style="1" customWidth="1"/>
    <col min="6920" max="6920" width="8.5" style="1" customWidth="1"/>
    <col min="6921" max="6922" width="8" style="1" customWidth="1"/>
    <col min="6923" max="6923" width="7" style="1" customWidth="1"/>
    <col min="6924" max="6924" width="8" style="1" customWidth="1"/>
    <col min="6925" max="6925" width="9" style="1" customWidth="1"/>
    <col min="6926" max="6927" width="8" style="1" customWidth="1"/>
    <col min="6928" max="6928" width="7.33203125" style="1" customWidth="1"/>
    <col min="6929" max="6929" width="7.5" style="1" customWidth="1"/>
    <col min="6930" max="6930" width="10.5" style="1" customWidth="1"/>
    <col min="6931" max="6931" width="9" style="1" customWidth="1"/>
    <col min="6932" max="6932" width="2" style="1" customWidth="1"/>
    <col min="6933" max="6933" width="15.5" style="1" customWidth="1"/>
    <col min="6934" max="6934" width="8.5" style="1" customWidth="1"/>
    <col min="6935" max="6935" width="16.5" style="1" bestFit="1" customWidth="1"/>
    <col min="6936" max="6940" width="8.83203125" style="1"/>
    <col min="6941" max="6941" width="17.1640625" style="1" customWidth="1"/>
    <col min="6942" max="6942" width="16" style="1" customWidth="1"/>
    <col min="6943" max="6943" width="9.6640625" style="1" customWidth="1"/>
    <col min="6944" max="6944" width="11.5" style="1" customWidth="1"/>
    <col min="6945" max="7166" width="8.83203125" style="1"/>
    <col min="7167" max="7167" width="2.5" style="1" customWidth="1"/>
    <col min="7168" max="7168" width="2" style="1" customWidth="1"/>
    <col min="7169" max="7169" width="17.83203125" style="1" customWidth="1"/>
    <col min="7170" max="7170" width="10.5" style="1" customWidth="1"/>
    <col min="7171" max="7173" width="9" style="1" customWidth="1"/>
    <col min="7174" max="7174" width="8.33203125" style="1" customWidth="1"/>
    <col min="7175" max="7175" width="11.5" style="1" customWidth="1"/>
    <col min="7176" max="7176" width="8.5" style="1" customWidth="1"/>
    <col min="7177" max="7178" width="8" style="1" customWidth="1"/>
    <col min="7179" max="7179" width="7" style="1" customWidth="1"/>
    <col min="7180" max="7180" width="8" style="1" customWidth="1"/>
    <col min="7181" max="7181" width="9" style="1" customWidth="1"/>
    <col min="7182" max="7183" width="8" style="1" customWidth="1"/>
    <col min="7184" max="7184" width="7.33203125" style="1" customWidth="1"/>
    <col min="7185" max="7185" width="7.5" style="1" customWidth="1"/>
    <col min="7186" max="7186" width="10.5" style="1" customWidth="1"/>
    <col min="7187" max="7187" width="9" style="1" customWidth="1"/>
    <col min="7188" max="7188" width="2" style="1" customWidth="1"/>
    <col min="7189" max="7189" width="15.5" style="1" customWidth="1"/>
    <col min="7190" max="7190" width="8.5" style="1" customWidth="1"/>
    <col min="7191" max="7191" width="16.5" style="1" bestFit="1" customWidth="1"/>
    <col min="7192" max="7196" width="8.83203125" style="1"/>
    <col min="7197" max="7197" width="17.1640625" style="1" customWidth="1"/>
    <col min="7198" max="7198" width="16" style="1" customWidth="1"/>
    <col min="7199" max="7199" width="9.6640625" style="1" customWidth="1"/>
    <col min="7200" max="7200" width="11.5" style="1" customWidth="1"/>
    <col min="7201" max="7422" width="8.83203125" style="1"/>
    <col min="7423" max="7423" width="2.5" style="1" customWidth="1"/>
    <col min="7424" max="7424" width="2" style="1" customWidth="1"/>
    <col min="7425" max="7425" width="17.83203125" style="1" customWidth="1"/>
    <col min="7426" max="7426" width="10.5" style="1" customWidth="1"/>
    <col min="7427" max="7429" width="9" style="1" customWidth="1"/>
    <col min="7430" max="7430" width="8.33203125" style="1" customWidth="1"/>
    <col min="7431" max="7431" width="11.5" style="1" customWidth="1"/>
    <col min="7432" max="7432" width="8.5" style="1" customWidth="1"/>
    <col min="7433" max="7434" width="8" style="1" customWidth="1"/>
    <col min="7435" max="7435" width="7" style="1" customWidth="1"/>
    <col min="7436" max="7436" width="8" style="1" customWidth="1"/>
    <col min="7437" max="7437" width="9" style="1" customWidth="1"/>
    <col min="7438" max="7439" width="8" style="1" customWidth="1"/>
    <col min="7440" max="7440" width="7.33203125" style="1" customWidth="1"/>
    <col min="7441" max="7441" width="7.5" style="1" customWidth="1"/>
    <col min="7442" max="7442" width="10.5" style="1" customWidth="1"/>
    <col min="7443" max="7443" width="9" style="1" customWidth="1"/>
    <col min="7444" max="7444" width="2" style="1" customWidth="1"/>
    <col min="7445" max="7445" width="15.5" style="1" customWidth="1"/>
    <col min="7446" max="7446" width="8.5" style="1" customWidth="1"/>
    <col min="7447" max="7447" width="16.5" style="1" bestFit="1" customWidth="1"/>
    <col min="7448" max="7452" width="8.83203125" style="1"/>
    <col min="7453" max="7453" width="17.1640625" style="1" customWidth="1"/>
    <col min="7454" max="7454" width="16" style="1" customWidth="1"/>
    <col min="7455" max="7455" width="9.6640625" style="1" customWidth="1"/>
    <col min="7456" max="7456" width="11.5" style="1" customWidth="1"/>
    <col min="7457" max="7678" width="8.83203125" style="1"/>
    <col min="7679" max="7679" width="2.5" style="1" customWidth="1"/>
    <col min="7680" max="7680" width="2" style="1" customWidth="1"/>
    <col min="7681" max="7681" width="17.83203125" style="1" customWidth="1"/>
    <col min="7682" max="7682" width="10.5" style="1" customWidth="1"/>
    <col min="7683" max="7685" width="9" style="1" customWidth="1"/>
    <col min="7686" max="7686" width="8.33203125" style="1" customWidth="1"/>
    <col min="7687" max="7687" width="11.5" style="1" customWidth="1"/>
    <col min="7688" max="7688" width="8.5" style="1" customWidth="1"/>
    <col min="7689" max="7690" width="8" style="1" customWidth="1"/>
    <col min="7691" max="7691" width="7" style="1" customWidth="1"/>
    <col min="7692" max="7692" width="8" style="1" customWidth="1"/>
    <col min="7693" max="7693" width="9" style="1" customWidth="1"/>
    <col min="7694" max="7695" width="8" style="1" customWidth="1"/>
    <col min="7696" max="7696" width="7.33203125" style="1" customWidth="1"/>
    <col min="7697" max="7697" width="7.5" style="1" customWidth="1"/>
    <col min="7698" max="7698" width="10.5" style="1" customWidth="1"/>
    <col min="7699" max="7699" width="9" style="1" customWidth="1"/>
    <col min="7700" max="7700" width="2" style="1" customWidth="1"/>
    <col min="7701" max="7701" width="15.5" style="1" customWidth="1"/>
    <col min="7702" max="7702" width="8.5" style="1" customWidth="1"/>
    <col min="7703" max="7703" width="16.5" style="1" bestFit="1" customWidth="1"/>
    <col min="7704" max="7708" width="8.83203125" style="1"/>
    <col min="7709" max="7709" width="17.1640625" style="1" customWidth="1"/>
    <col min="7710" max="7710" width="16" style="1" customWidth="1"/>
    <col min="7711" max="7711" width="9.6640625" style="1" customWidth="1"/>
    <col min="7712" max="7712" width="11.5" style="1" customWidth="1"/>
    <col min="7713" max="7934" width="8.83203125" style="1"/>
    <col min="7935" max="7935" width="2.5" style="1" customWidth="1"/>
    <col min="7936" max="7936" width="2" style="1" customWidth="1"/>
    <col min="7937" max="7937" width="17.83203125" style="1" customWidth="1"/>
    <col min="7938" max="7938" width="10.5" style="1" customWidth="1"/>
    <col min="7939" max="7941" width="9" style="1" customWidth="1"/>
    <col min="7942" max="7942" width="8.33203125" style="1" customWidth="1"/>
    <col min="7943" max="7943" width="11.5" style="1" customWidth="1"/>
    <col min="7944" max="7944" width="8.5" style="1" customWidth="1"/>
    <col min="7945" max="7946" width="8" style="1" customWidth="1"/>
    <col min="7947" max="7947" width="7" style="1" customWidth="1"/>
    <col min="7948" max="7948" width="8" style="1" customWidth="1"/>
    <col min="7949" max="7949" width="9" style="1" customWidth="1"/>
    <col min="7950" max="7951" width="8" style="1" customWidth="1"/>
    <col min="7952" max="7952" width="7.33203125" style="1" customWidth="1"/>
    <col min="7953" max="7953" width="7.5" style="1" customWidth="1"/>
    <col min="7954" max="7954" width="10.5" style="1" customWidth="1"/>
    <col min="7955" max="7955" width="9" style="1" customWidth="1"/>
    <col min="7956" max="7956" width="2" style="1" customWidth="1"/>
    <col min="7957" max="7957" width="15.5" style="1" customWidth="1"/>
    <col min="7958" max="7958" width="8.5" style="1" customWidth="1"/>
    <col min="7959" max="7959" width="16.5" style="1" bestFit="1" customWidth="1"/>
    <col min="7960" max="7964" width="8.83203125" style="1"/>
    <col min="7965" max="7965" width="17.1640625" style="1" customWidth="1"/>
    <col min="7966" max="7966" width="16" style="1" customWidth="1"/>
    <col min="7967" max="7967" width="9.6640625" style="1" customWidth="1"/>
    <col min="7968" max="7968" width="11.5" style="1" customWidth="1"/>
    <col min="7969" max="8190" width="8.83203125" style="1"/>
    <col min="8191" max="8191" width="2.5" style="1" customWidth="1"/>
    <col min="8192" max="8192" width="2" style="1" customWidth="1"/>
    <col min="8193" max="8193" width="17.83203125" style="1" customWidth="1"/>
    <col min="8194" max="8194" width="10.5" style="1" customWidth="1"/>
    <col min="8195" max="8197" width="9" style="1" customWidth="1"/>
    <col min="8198" max="8198" width="8.33203125" style="1" customWidth="1"/>
    <col min="8199" max="8199" width="11.5" style="1" customWidth="1"/>
    <col min="8200" max="8200" width="8.5" style="1" customWidth="1"/>
    <col min="8201" max="8202" width="8" style="1" customWidth="1"/>
    <col min="8203" max="8203" width="7" style="1" customWidth="1"/>
    <col min="8204" max="8204" width="8" style="1" customWidth="1"/>
    <col min="8205" max="8205" width="9" style="1" customWidth="1"/>
    <col min="8206" max="8207" width="8" style="1" customWidth="1"/>
    <col min="8208" max="8208" width="7.33203125" style="1" customWidth="1"/>
    <col min="8209" max="8209" width="7.5" style="1" customWidth="1"/>
    <col min="8210" max="8210" width="10.5" style="1" customWidth="1"/>
    <col min="8211" max="8211" width="9" style="1" customWidth="1"/>
    <col min="8212" max="8212" width="2" style="1" customWidth="1"/>
    <col min="8213" max="8213" width="15.5" style="1" customWidth="1"/>
    <col min="8214" max="8214" width="8.5" style="1" customWidth="1"/>
    <col min="8215" max="8215" width="16.5" style="1" bestFit="1" customWidth="1"/>
    <col min="8216" max="8220" width="8.83203125" style="1"/>
    <col min="8221" max="8221" width="17.1640625" style="1" customWidth="1"/>
    <col min="8222" max="8222" width="16" style="1" customWidth="1"/>
    <col min="8223" max="8223" width="9.6640625" style="1" customWidth="1"/>
    <col min="8224" max="8224" width="11.5" style="1" customWidth="1"/>
    <col min="8225" max="8446" width="8.83203125" style="1"/>
    <col min="8447" max="8447" width="2.5" style="1" customWidth="1"/>
    <col min="8448" max="8448" width="2" style="1" customWidth="1"/>
    <col min="8449" max="8449" width="17.83203125" style="1" customWidth="1"/>
    <col min="8450" max="8450" width="10.5" style="1" customWidth="1"/>
    <col min="8451" max="8453" width="9" style="1" customWidth="1"/>
    <col min="8454" max="8454" width="8.33203125" style="1" customWidth="1"/>
    <col min="8455" max="8455" width="11.5" style="1" customWidth="1"/>
    <col min="8456" max="8456" width="8.5" style="1" customWidth="1"/>
    <col min="8457" max="8458" width="8" style="1" customWidth="1"/>
    <col min="8459" max="8459" width="7" style="1" customWidth="1"/>
    <col min="8460" max="8460" width="8" style="1" customWidth="1"/>
    <col min="8461" max="8461" width="9" style="1" customWidth="1"/>
    <col min="8462" max="8463" width="8" style="1" customWidth="1"/>
    <col min="8464" max="8464" width="7.33203125" style="1" customWidth="1"/>
    <col min="8465" max="8465" width="7.5" style="1" customWidth="1"/>
    <col min="8466" max="8466" width="10.5" style="1" customWidth="1"/>
    <col min="8467" max="8467" width="9" style="1" customWidth="1"/>
    <col min="8468" max="8468" width="2" style="1" customWidth="1"/>
    <col min="8469" max="8469" width="15.5" style="1" customWidth="1"/>
    <col min="8470" max="8470" width="8.5" style="1" customWidth="1"/>
    <col min="8471" max="8471" width="16.5" style="1" bestFit="1" customWidth="1"/>
    <col min="8472" max="8476" width="8.83203125" style="1"/>
    <col min="8477" max="8477" width="17.1640625" style="1" customWidth="1"/>
    <col min="8478" max="8478" width="16" style="1" customWidth="1"/>
    <col min="8479" max="8479" width="9.6640625" style="1" customWidth="1"/>
    <col min="8480" max="8480" width="11.5" style="1" customWidth="1"/>
    <col min="8481" max="8702" width="8.83203125" style="1"/>
    <col min="8703" max="8703" width="2.5" style="1" customWidth="1"/>
    <col min="8704" max="8704" width="2" style="1" customWidth="1"/>
    <col min="8705" max="8705" width="17.83203125" style="1" customWidth="1"/>
    <col min="8706" max="8706" width="10.5" style="1" customWidth="1"/>
    <col min="8707" max="8709" width="9" style="1" customWidth="1"/>
    <col min="8710" max="8710" width="8.33203125" style="1" customWidth="1"/>
    <col min="8711" max="8711" width="11.5" style="1" customWidth="1"/>
    <col min="8712" max="8712" width="8.5" style="1" customWidth="1"/>
    <col min="8713" max="8714" width="8" style="1" customWidth="1"/>
    <col min="8715" max="8715" width="7" style="1" customWidth="1"/>
    <col min="8716" max="8716" width="8" style="1" customWidth="1"/>
    <col min="8717" max="8717" width="9" style="1" customWidth="1"/>
    <col min="8718" max="8719" width="8" style="1" customWidth="1"/>
    <col min="8720" max="8720" width="7.33203125" style="1" customWidth="1"/>
    <col min="8721" max="8721" width="7.5" style="1" customWidth="1"/>
    <col min="8722" max="8722" width="10.5" style="1" customWidth="1"/>
    <col min="8723" max="8723" width="9" style="1" customWidth="1"/>
    <col min="8724" max="8724" width="2" style="1" customWidth="1"/>
    <col min="8725" max="8725" width="15.5" style="1" customWidth="1"/>
    <col min="8726" max="8726" width="8.5" style="1" customWidth="1"/>
    <col min="8727" max="8727" width="16.5" style="1" bestFit="1" customWidth="1"/>
    <col min="8728" max="8732" width="8.83203125" style="1"/>
    <col min="8733" max="8733" width="17.1640625" style="1" customWidth="1"/>
    <col min="8734" max="8734" width="16" style="1" customWidth="1"/>
    <col min="8735" max="8735" width="9.6640625" style="1" customWidth="1"/>
    <col min="8736" max="8736" width="11.5" style="1" customWidth="1"/>
    <col min="8737" max="8958" width="8.83203125" style="1"/>
    <col min="8959" max="8959" width="2.5" style="1" customWidth="1"/>
    <col min="8960" max="8960" width="2" style="1" customWidth="1"/>
    <col min="8961" max="8961" width="17.83203125" style="1" customWidth="1"/>
    <col min="8962" max="8962" width="10.5" style="1" customWidth="1"/>
    <col min="8963" max="8965" width="9" style="1" customWidth="1"/>
    <col min="8966" max="8966" width="8.33203125" style="1" customWidth="1"/>
    <col min="8967" max="8967" width="11.5" style="1" customWidth="1"/>
    <col min="8968" max="8968" width="8.5" style="1" customWidth="1"/>
    <col min="8969" max="8970" width="8" style="1" customWidth="1"/>
    <col min="8971" max="8971" width="7" style="1" customWidth="1"/>
    <col min="8972" max="8972" width="8" style="1" customWidth="1"/>
    <col min="8973" max="8973" width="9" style="1" customWidth="1"/>
    <col min="8974" max="8975" width="8" style="1" customWidth="1"/>
    <col min="8976" max="8976" width="7.33203125" style="1" customWidth="1"/>
    <col min="8977" max="8977" width="7.5" style="1" customWidth="1"/>
    <col min="8978" max="8978" width="10.5" style="1" customWidth="1"/>
    <col min="8979" max="8979" width="9" style="1" customWidth="1"/>
    <col min="8980" max="8980" width="2" style="1" customWidth="1"/>
    <col min="8981" max="8981" width="15.5" style="1" customWidth="1"/>
    <col min="8982" max="8982" width="8.5" style="1" customWidth="1"/>
    <col min="8983" max="8983" width="16.5" style="1" bestFit="1" customWidth="1"/>
    <col min="8984" max="8988" width="8.83203125" style="1"/>
    <col min="8989" max="8989" width="17.1640625" style="1" customWidth="1"/>
    <col min="8990" max="8990" width="16" style="1" customWidth="1"/>
    <col min="8991" max="8991" width="9.6640625" style="1" customWidth="1"/>
    <col min="8992" max="8992" width="11.5" style="1" customWidth="1"/>
    <col min="8993" max="9214" width="8.83203125" style="1"/>
    <col min="9215" max="9215" width="2.5" style="1" customWidth="1"/>
    <col min="9216" max="9216" width="2" style="1" customWidth="1"/>
    <col min="9217" max="9217" width="17.83203125" style="1" customWidth="1"/>
    <col min="9218" max="9218" width="10.5" style="1" customWidth="1"/>
    <col min="9219" max="9221" width="9" style="1" customWidth="1"/>
    <col min="9222" max="9222" width="8.33203125" style="1" customWidth="1"/>
    <col min="9223" max="9223" width="11.5" style="1" customWidth="1"/>
    <col min="9224" max="9224" width="8.5" style="1" customWidth="1"/>
    <col min="9225" max="9226" width="8" style="1" customWidth="1"/>
    <col min="9227" max="9227" width="7" style="1" customWidth="1"/>
    <col min="9228" max="9228" width="8" style="1" customWidth="1"/>
    <col min="9229" max="9229" width="9" style="1" customWidth="1"/>
    <col min="9230" max="9231" width="8" style="1" customWidth="1"/>
    <col min="9232" max="9232" width="7.33203125" style="1" customWidth="1"/>
    <col min="9233" max="9233" width="7.5" style="1" customWidth="1"/>
    <col min="9234" max="9234" width="10.5" style="1" customWidth="1"/>
    <col min="9235" max="9235" width="9" style="1" customWidth="1"/>
    <col min="9236" max="9236" width="2" style="1" customWidth="1"/>
    <col min="9237" max="9237" width="15.5" style="1" customWidth="1"/>
    <col min="9238" max="9238" width="8.5" style="1" customWidth="1"/>
    <col min="9239" max="9239" width="16.5" style="1" bestFit="1" customWidth="1"/>
    <col min="9240" max="9244" width="8.83203125" style="1"/>
    <col min="9245" max="9245" width="17.1640625" style="1" customWidth="1"/>
    <col min="9246" max="9246" width="16" style="1" customWidth="1"/>
    <col min="9247" max="9247" width="9.6640625" style="1" customWidth="1"/>
    <col min="9248" max="9248" width="11.5" style="1" customWidth="1"/>
    <col min="9249" max="9470" width="8.83203125" style="1"/>
    <col min="9471" max="9471" width="2.5" style="1" customWidth="1"/>
    <col min="9472" max="9472" width="2" style="1" customWidth="1"/>
    <col min="9473" max="9473" width="17.83203125" style="1" customWidth="1"/>
    <col min="9474" max="9474" width="10.5" style="1" customWidth="1"/>
    <col min="9475" max="9477" width="9" style="1" customWidth="1"/>
    <col min="9478" max="9478" width="8.33203125" style="1" customWidth="1"/>
    <col min="9479" max="9479" width="11.5" style="1" customWidth="1"/>
    <col min="9480" max="9480" width="8.5" style="1" customWidth="1"/>
    <col min="9481" max="9482" width="8" style="1" customWidth="1"/>
    <col min="9483" max="9483" width="7" style="1" customWidth="1"/>
    <col min="9484" max="9484" width="8" style="1" customWidth="1"/>
    <col min="9485" max="9485" width="9" style="1" customWidth="1"/>
    <col min="9486" max="9487" width="8" style="1" customWidth="1"/>
    <col min="9488" max="9488" width="7.33203125" style="1" customWidth="1"/>
    <col min="9489" max="9489" width="7.5" style="1" customWidth="1"/>
    <col min="9490" max="9490" width="10.5" style="1" customWidth="1"/>
    <col min="9491" max="9491" width="9" style="1" customWidth="1"/>
    <col min="9492" max="9492" width="2" style="1" customWidth="1"/>
    <col min="9493" max="9493" width="15.5" style="1" customWidth="1"/>
    <col min="9494" max="9494" width="8.5" style="1" customWidth="1"/>
    <col min="9495" max="9495" width="16.5" style="1" bestFit="1" customWidth="1"/>
    <col min="9496" max="9500" width="8.83203125" style="1"/>
    <col min="9501" max="9501" width="17.1640625" style="1" customWidth="1"/>
    <col min="9502" max="9502" width="16" style="1" customWidth="1"/>
    <col min="9503" max="9503" width="9.6640625" style="1" customWidth="1"/>
    <col min="9504" max="9504" width="11.5" style="1" customWidth="1"/>
    <col min="9505" max="9726" width="8.83203125" style="1"/>
    <col min="9727" max="9727" width="2.5" style="1" customWidth="1"/>
    <col min="9728" max="9728" width="2" style="1" customWidth="1"/>
    <col min="9729" max="9729" width="17.83203125" style="1" customWidth="1"/>
    <col min="9730" max="9730" width="10.5" style="1" customWidth="1"/>
    <col min="9731" max="9733" width="9" style="1" customWidth="1"/>
    <col min="9734" max="9734" width="8.33203125" style="1" customWidth="1"/>
    <col min="9735" max="9735" width="11.5" style="1" customWidth="1"/>
    <col min="9736" max="9736" width="8.5" style="1" customWidth="1"/>
    <col min="9737" max="9738" width="8" style="1" customWidth="1"/>
    <col min="9739" max="9739" width="7" style="1" customWidth="1"/>
    <col min="9740" max="9740" width="8" style="1" customWidth="1"/>
    <col min="9741" max="9741" width="9" style="1" customWidth="1"/>
    <col min="9742" max="9743" width="8" style="1" customWidth="1"/>
    <col min="9744" max="9744" width="7.33203125" style="1" customWidth="1"/>
    <col min="9745" max="9745" width="7.5" style="1" customWidth="1"/>
    <col min="9746" max="9746" width="10.5" style="1" customWidth="1"/>
    <col min="9747" max="9747" width="9" style="1" customWidth="1"/>
    <col min="9748" max="9748" width="2" style="1" customWidth="1"/>
    <col min="9749" max="9749" width="15.5" style="1" customWidth="1"/>
    <col min="9750" max="9750" width="8.5" style="1" customWidth="1"/>
    <col min="9751" max="9751" width="16.5" style="1" bestFit="1" customWidth="1"/>
    <col min="9752" max="9756" width="8.83203125" style="1"/>
    <col min="9757" max="9757" width="17.1640625" style="1" customWidth="1"/>
    <col min="9758" max="9758" width="16" style="1" customWidth="1"/>
    <col min="9759" max="9759" width="9.6640625" style="1" customWidth="1"/>
    <col min="9760" max="9760" width="11.5" style="1" customWidth="1"/>
    <col min="9761" max="9982" width="8.83203125" style="1"/>
    <col min="9983" max="9983" width="2.5" style="1" customWidth="1"/>
    <col min="9984" max="9984" width="2" style="1" customWidth="1"/>
    <col min="9985" max="9985" width="17.83203125" style="1" customWidth="1"/>
    <col min="9986" max="9986" width="10.5" style="1" customWidth="1"/>
    <col min="9987" max="9989" width="9" style="1" customWidth="1"/>
    <col min="9990" max="9990" width="8.33203125" style="1" customWidth="1"/>
    <col min="9991" max="9991" width="11.5" style="1" customWidth="1"/>
    <col min="9992" max="9992" width="8.5" style="1" customWidth="1"/>
    <col min="9993" max="9994" width="8" style="1" customWidth="1"/>
    <col min="9995" max="9995" width="7" style="1" customWidth="1"/>
    <col min="9996" max="9996" width="8" style="1" customWidth="1"/>
    <col min="9997" max="9997" width="9" style="1" customWidth="1"/>
    <col min="9998" max="9999" width="8" style="1" customWidth="1"/>
    <col min="10000" max="10000" width="7.33203125" style="1" customWidth="1"/>
    <col min="10001" max="10001" width="7.5" style="1" customWidth="1"/>
    <col min="10002" max="10002" width="10.5" style="1" customWidth="1"/>
    <col min="10003" max="10003" width="9" style="1" customWidth="1"/>
    <col min="10004" max="10004" width="2" style="1" customWidth="1"/>
    <col min="10005" max="10005" width="15.5" style="1" customWidth="1"/>
    <col min="10006" max="10006" width="8.5" style="1" customWidth="1"/>
    <col min="10007" max="10007" width="16.5" style="1" bestFit="1" customWidth="1"/>
    <col min="10008" max="10012" width="8.83203125" style="1"/>
    <col min="10013" max="10013" width="17.1640625" style="1" customWidth="1"/>
    <col min="10014" max="10014" width="16" style="1" customWidth="1"/>
    <col min="10015" max="10015" width="9.6640625" style="1" customWidth="1"/>
    <col min="10016" max="10016" width="11.5" style="1" customWidth="1"/>
    <col min="10017" max="10238" width="8.83203125" style="1"/>
    <col min="10239" max="10239" width="2.5" style="1" customWidth="1"/>
    <col min="10240" max="10240" width="2" style="1" customWidth="1"/>
    <col min="10241" max="10241" width="17.83203125" style="1" customWidth="1"/>
    <col min="10242" max="10242" width="10.5" style="1" customWidth="1"/>
    <col min="10243" max="10245" width="9" style="1" customWidth="1"/>
    <col min="10246" max="10246" width="8.33203125" style="1" customWidth="1"/>
    <col min="10247" max="10247" width="11.5" style="1" customWidth="1"/>
    <col min="10248" max="10248" width="8.5" style="1" customWidth="1"/>
    <col min="10249" max="10250" width="8" style="1" customWidth="1"/>
    <col min="10251" max="10251" width="7" style="1" customWidth="1"/>
    <col min="10252" max="10252" width="8" style="1" customWidth="1"/>
    <col min="10253" max="10253" width="9" style="1" customWidth="1"/>
    <col min="10254" max="10255" width="8" style="1" customWidth="1"/>
    <col min="10256" max="10256" width="7.33203125" style="1" customWidth="1"/>
    <col min="10257" max="10257" width="7.5" style="1" customWidth="1"/>
    <col min="10258" max="10258" width="10.5" style="1" customWidth="1"/>
    <col min="10259" max="10259" width="9" style="1" customWidth="1"/>
    <col min="10260" max="10260" width="2" style="1" customWidth="1"/>
    <col min="10261" max="10261" width="15.5" style="1" customWidth="1"/>
    <col min="10262" max="10262" width="8.5" style="1" customWidth="1"/>
    <col min="10263" max="10263" width="16.5" style="1" bestFit="1" customWidth="1"/>
    <col min="10264" max="10268" width="8.83203125" style="1"/>
    <col min="10269" max="10269" width="17.1640625" style="1" customWidth="1"/>
    <col min="10270" max="10270" width="16" style="1" customWidth="1"/>
    <col min="10271" max="10271" width="9.6640625" style="1" customWidth="1"/>
    <col min="10272" max="10272" width="11.5" style="1" customWidth="1"/>
    <col min="10273" max="10494" width="8.83203125" style="1"/>
    <col min="10495" max="10495" width="2.5" style="1" customWidth="1"/>
    <col min="10496" max="10496" width="2" style="1" customWidth="1"/>
    <col min="10497" max="10497" width="17.83203125" style="1" customWidth="1"/>
    <col min="10498" max="10498" width="10.5" style="1" customWidth="1"/>
    <col min="10499" max="10501" width="9" style="1" customWidth="1"/>
    <col min="10502" max="10502" width="8.33203125" style="1" customWidth="1"/>
    <col min="10503" max="10503" width="11.5" style="1" customWidth="1"/>
    <col min="10504" max="10504" width="8.5" style="1" customWidth="1"/>
    <col min="10505" max="10506" width="8" style="1" customWidth="1"/>
    <col min="10507" max="10507" width="7" style="1" customWidth="1"/>
    <col min="10508" max="10508" width="8" style="1" customWidth="1"/>
    <col min="10509" max="10509" width="9" style="1" customWidth="1"/>
    <col min="10510" max="10511" width="8" style="1" customWidth="1"/>
    <col min="10512" max="10512" width="7.33203125" style="1" customWidth="1"/>
    <col min="10513" max="10513" width="7.5" style="1" customWidth="1"/>
    <col min="10514" max="10514" width="10.5" style="1" customWidth="1"/>
    <col min="10515" max="10515" width="9" style="1" customWidth="1"/>
    <col min="10516" max="10516" width="2" style="1" customWidth="1"/>
    <col min="10517" max="10517" width="15.5" style="1" customWidth="1"/>
    <col min="10518" max="10518" width="8.5" style="1" customWidth="1"/>
    <col min="10519" max="10519" width="16.5" style="1" bestFit="1" customWidth="1"/>
    <col min="10520" max="10524" width="8.83203125" style="1"/>
    <col min="10525" max="10525" width="17.1640625" style="1" customWidth="1"/>
    <col min="10526" max="10526" width="16" style="1" customWidth="1"/>
    <col min="10527" max="10527" width="9.6640625" style="1" customWidth="1"/>
    <col min="10528" max="10528" width="11.5" style="1" customWidth="1"/>
    <col min="10529" max="10750" width="8.83203125" style="1"/>
    <col min="10751" max="10751" width="2.5" style="1" customWidth="1"/>
    <col min="10752" max="10752" width="2" style="1" customWidth="1"/>
    <col min="10753" max="10753" width="17.83203125" style="1" customWidth="1"/>
    <col min="10754" max="10754" width="10.5" style="1" customWidth="1"/>
    <col min="10755" max="10757" width="9" style="1" customWidth="1"/>
    <col min="10758" max="10758" width="8.33203125" style="1" customWidth="1"/>
    <col min="10759" max="10759" width="11.5" style="1" customWidth="1"/>
    <col min="10760" max="10760" width="8.5" style="1" customWidth="1"/>
    <col min="10761" max="10762" width="8" style="1" customWidth="1"/>
    <col min="10763" max="10763" width="7" style="1" customWidth="1"/>
    <col min="10764" max="10764" width="8" style="1" customWidth="1"/>
    <col min="10765" max="10765" width="9" style="1" customWidth="1"/>
    <col min="10766" max="10767" width="8" style="1" customWidth="1"/>
    <col min="10768" max="10768" width="7.33203125" style="1" customWidth="1"/>
    <col min="10769" max="10769" width="7.5" style="1" customWidth="1"/>
    <col min="10770" max="10770" width="10.5" style="1" customWidth="1"/>
    <col min="10771" max="10771" width="9" style="1" customWidth="1"/>
    <col min="10772" max="10772" width="2" style="1" customWidth="1"/>
    <col min="10773" max="10773" width="15.5" style="1" customWidth="1"/>
    <col min="10774" max="10774" width="8.5" style="1" customWidth="1"/>
    <col min="10775" max="10775" width="16.5" style="1" bestFit="1" customWidth="1"/>
    <col min="10776" max="10780" width="8.83203125" style="1"/>
    <col min="10781" max="10781" width="17.1640625" style="1" customWidth="1"/>
    <col min="10782" max="10782" width="16" style="1" customWidth="1"/>
    <col min="10783" max="10783" width="9.6640625" style="1" customWidth="1"/>
    <col min="10784" max="10784" width="11.5" style="1" customWidth="1"/>
    <col min="10785" max="11006" width="8.83203125" style="1"/>
    <col min="11007" max="11007" width="2.5" style="1" customWidth="1"/>
    <col min="11008" max="11008" width="2" style="1" customWidth="1"/>
    <col min="11009" max="11009" width="17.83203125" style="1" customWidth="1"/>
    <col min="11010" max="11010" width="10.5" style="1" customWidth="1"/>
    <col min="11011" max="11013" width="9" style="1" customWidth="1"/>
    <col min="11014" max="11014" width="8.33203125" style="1" customWidth="1"/>
    <col min="11015" max="11015" width="11.5" style="1" customWidth="1"/>
    <col min="11016" max="11016" width="8.5" style="1" customWidth="1"/>
    <col min="11017" max="11018" width="8" style="1" customWidth="1"/>
    <col min="11019" max="11019" width="7" style="1" customWidth="1"/>
    <col min="11020" max="11020" width="8" style="1" customWidth="1"/>
    <col min="11021" max="11021" width="9" style="1" customWidth="1"/>
    <col min="11022" max="11023" width="8" style="1" customWidth="1"/>
    <col min="11024" max="11024" width="7.33203125" style="1" customWidth="1"/>
    <col min="11025" max="11025" width="7.5" style="1" customWidth="1"/>
    <col min="11026" max="11026" width="10.5" style="1" customWidth="1"/>
    <col min="11027" max="11027" width="9" style="1" customWidth="1"/>
    <col min="11028" max="11028" width="2" style="1" customWidth="1"/>
    <col min="11029" max="11029" width="15.5" style="1" customWidth="1"/>
    <col min="11030" max="11030" width="8.5" style="1" customWidth="1"/>
    <col min="11031" max="11031" width="16.5" style="1" bestFit="1" customWidth="1"/>
    <col min="11032" max="11036" width="8.83203125" style="1"/>
    <col min="11037" max="11037" width="17.1640625" style="1" customWidth="1"/>
    <col min="11038" max="11038" width="16" style="1" customWidth="1"/>
    <col min="11039" max="11039" width="9.6640625" style="1" customWidth="1"/>
    <col min="11040" max="11040" width="11.5" style="1" customWidth="1"/>
    <col min="11041" max="11262" width="8.83203125" style="1"/>
    <col min="11263" max="11263" width="2.5" style="1" customWidth="1"/>
    <col min="11264" max="11264" width="2" style="1" customWidth="1"/>
    <col min="11265" max="11265" width="17.83203125" style="1" customWidth="1"/>
    <col min="11266" max="11266" width="10.5" style="1" customWidth="1"/>
    <col min="11267" max="11269" width="9" style="1" customWidth="1"/>
    <col min="11270" max="11270" width="8.33203125" style="1" customWidth="1"/>
    <col min="11271" max="11271" width="11.5" style="1" customWidth="1"/>
    <col min="11272" max="11272" width="8.5" style="1" customWidth="1"/>
    <col min="11273" max="11274" width="8" style="1" customWidth="1"/>
    <col min="11275" max="11275" width="7" style="1" customWidth="1"/>
    <col min="11276" max="11276" width="8" style="1" customWidth="1"/>
    <col min="11277" max="11277" width="9" style="1" customWidth="1"/>
    <col min="11278" max="11279" width="8" style="1" customWidth="1"/>
    <col min="11280" max="11280" width="7.33203125" style="1" customWidth="1"/>
    <col min="11281" max="11281" width="7.5" style="1" customWidth="1"/>
    <col min="11282" max="11282" width="10.5" style="1" customWidth="1"/>
    <col min="11283" max="11283" width="9" style="1" customWidth="1"/>
    <col min="11284" max="11284" width="2" style="1" customWidth="1"/>
    <col min="11285" max="11285" width="15.5" style="1" customWidth="1"/>
    <col min="11286" max="11286" width="8.5" style="1" customWidth="1"/>
    <col min="11287" max="11287" width="16.5" style="1" bestFit="1" customWidth="1"/>
    <col min="11288" max="11292" width="8.83203125" style="1"/>
    <col min="11293" max="11293" width="17.1640625" style="1" customWidth="1"/>
    <col min="11294" max="11294" width="16" style="1" customWidth="1"/>
    <col min="11295" max="11295" width="9.6640625" style="1" customWidth="1"/>
    <col min="11296" max="11296" width="11.5" style="1" customWidth="1"/>
    <col min="11297" max="11518" width="8.83203125" style="1"/>
    <col min="11519" max="11519" width="2.5" style="1" customWidth="1"/>
    <col min="11520" max="11520" width="2" style="1" customWidth="1"/>
    <col min="11521" max="11521" width="17.83203125" style="1" customWidth="1"/>
    <col min="11522" max="11522" width="10.5" style="1" customWidth="1"/>
    <col min="11523" max="11525" width="9" style="1" customWidth="1"/>
    <col min="11526" max="11526" width="8.33203125" style="1" customWidth="1"/>
    <col min="11527" max="11527" width="11.5" style="1" customWidth="1"/>
    <col min="11528" max="11528" width="8.5" style="1" customWidth="1"/>
    <col min="11529" max="11530" width="8" style="1" customWidth="1"/>
    <col min="11531" max="11531" width="7" style="1" customWidth="1"/>
    <col min="11532" max="11532" width="8" style="1" customWidth="1"/>
    <col min="11533" max="11533" width="9" style="1" customWidth="1"/>
    <col min="11534" max="11535" width="8" style="1" customWidth="1"/>
    <col min="11536" max="11536" width="7.33203125" style="1" customWidth="1"/>
    <col min="11537" max="11537" width="7.5" style="1" customWidth="1"/>
    <col min="11538" max="11538" width="10.5" style="1" customWidth="1"/>
    <col min="11539" max="11539" width="9" style="1" customWidth="1"/>
    <col min="11540" max="11540" width="2" style="1" customWidth="1"/>
    <col min="11541" max="11541" width="15.5" style="1" customWidth="1"/>
    <col min="11542" max="11542" width="8.5" style="1" customWidth="1"/>
    <col min="11543" max="11543" width="16.5" style="1" bestFit="1" customWidth="1"/>
    <col min="11544" max="11548" width="8.83203125" style="1"/>
    <col min="11549" max="11549" width="17.1640625" style="1" customWidth="1"/>
    <col min="11550" max="11550" width="16" style="1" customWidth="1"/>
    <col min="11551" max="11551" width="9.6640625" style="1" customWidth="1"/>
    <col min="11552" max="11552" width="11.5" style="1" customWidth="1"/>
    <col min="11553" max="11774" width="8.83203125" style="1"/>
    <col min="11775" max="11775" width="2.5" style="1" customWidth="1"/>
    <col min="11776" max="11776" width="2" style="1" customWidth="1"/>
    <col min="11777" max="11777" width="17.83203125" style="1" customWidth="1"/>
    <col min="11778" max="11778" width="10.5" style="1" customWidth="1"/>
    <col min="11779" max="11781" width="9" style="1" customWidth="1"/>
    <col min="11782" max="11782" width="8.33203125" style="1" customWidth="1"/>
    <col min="11783" max="11783" width="11.5" style="1" customWidth="1"/>
    <col min="11784" max="11784" width="8.5" style="1" customWidth="1"/>
    <col min="11785" max="11786" width="8" style="1" customWidth="1"/>
    <col min="11787" max="11787" width="7" style="1" customWidth="1"/>
    <col min="11788" max="11788" width="8" style="1" customWidth="1"/>
    <col min="11789" max="11789" width="9" style="1" customWidth="1"/>
    <col min="11790" max="11791" width="8" style="1" customWidth="1"/>
    <col min="11792" max="11792" width="7.33203125" style="1" customWidth="1"/>
    <col min="11793" max="11793" width="7.5" style="1" customWidth="1"/>
    <col min="11794" max="11794" width="10.5" style="1" customWidth="1"/>
    <col min="11795" max="11795" width="9" style="1" customWidth="1"/>
    <col min="11796" max="11796" width="2" style="1" customWidth="1"/>
    <col min="11797" max="11797" width="15.5" style="1" customWidth="1"/>
    <col min="11798" max="11798" width="8.5" style="1" customWidth="1"/>
    <col min="11799" max="11799" width="16.5" style="1" bestFit="1" customWidth="1"/>
    <col min="11800" max="11804" width="8.83203125" style="1"/>
    <col min="11805" max="11805" width="17.1640625" style="1" customWidth="1"/>
    <col min="11806" max="11806" width="16" style="1" customWidth="1"/>
    <col min="11807" max="11807" width="9.6640625" style="1" customWidth="1"/>
    <col min="11808" max="11808" width="11.5" style="1" customWidth="1"/>
    <col min="11809" max="12030" width="8.83203125" style="1"/>
    <col min="12031" max="12031" width="2.5" style="1" customWidth="1"/>
    <col min="12032" max="12032" width="2" style="1" customWidth="1"/>
    <col min="12033" max="12033" width="17.83203125" style="1" customWidth="1"/>
    <col min="12034" max="12034" width="10.5" style="1" customWidth="1"/>
    <col min="12035" max="12037" width="9" style="1" customWidth="1"/>
    <col min="12038" max="12038" width="8.33203125" style="1" customWidth="1"/>
    <col min="12039" max="12039" width="11.5" style="1" customWidth="1"/>
    <col min="12040" max="12040" width="8.5" style="1" customWidth="1"/>
    <col min="12041" max="12042" width="8" style="1" customWidth="1"/>
    <col min="12043" max="12043" width="7" style="1" customWidth="1"/>
    <col min="12044" max="12044" width="8" style="1" customWidth="1"/>
    <col min="12045" max="12045" width="9" style="1" customWidth="1"/>
    <col min="12046" max="12047" width="8" style="1" customWidth="1"/>
    <col min="12048" max="12048" width="7.33203125" style="1" customWidth="1"/>
    <col min="12049" max="12049" width="7.5" style="1" customWidth="1"/>
    <col min="12050" max="12050" width="10.5" style="1" customWidth="1"/>
    <col min="12051" max="12051" width="9" style="1" customWidth="1"/>
    <col min="12052" max="12052" width="2" style="1" customWidth="1"/>
    <col min="12053" max="12053" width="15.5" style="1" customWidth="1"/>
    <col min="12054" max="12054" width="8.5" style="1" customWidth="1"/>
    <col min="12055" max="12055" width="16.5" style="1" bestFit="1" customWidth="1"/>
    <col min="12056" max="12060" width="8.83203125" style="1"/>
    <col min="12061" max="12061" width="17.1640625" style="1" customWidth="1"/>
    <col min="12062" max="12062" width="16" style="1" customWidth="1"/>
    <col min="12063" max="12063" width="9.6640625" style="1" customWidth="1"/>
    <col min="12064" max="12064" width="11.5" style="1" customWidth="1"/>
    <col min="12065" max="12286" width="8.83203125" style="1"/>
    <col min="12287" max="12287" width="2.5" style="1" customWidth="1"/>
    <col min="12288" max="12288" width="2" style="1" customWidth="1"/>
    <col min="12289" max="12289" width="17.83203125" style="1" customWidth="1"/>
    <col min="12290" max="12290" width="10.5" style="1" customWidth="1"/>
    <col min="12291" max="12293" width="9" style="1" customWidth="1"/>
    <col min="12294" max="12294" width="8.33203125" style="1" customWidth="1"/>
    <col min="12295" max="12295" width="11.5" style="1" customWidth="1"/>
    <col min="12296" max="12296" width="8.5" style="1" customWidth="1"/>
    <col min="12297" max="12298" width="8" style="1" customWidth="1"/>
    <col min="12299" max="12299" width="7" style="1" customWidth="1"/>
    <col min="12300" max="12300" width="8" style="1" customWidth="1"/>
    <col min="12301" max="12301" width="9" style="1" customWidth="1"/>
    <col min="12302" max="12303" width="8" style="1" customWidth="1"/>
    <col min="12304" max="12304" width="7.33203125" style="1" customWidth="1"/>
    <col min="12305" max="12305" width="7.5" style="1" customWidth="1"/>
    <col min="12306" max="12306" width="10.5" style="1" customWidth="1"/>
    <col min="12307" max="12307" width="9" style="1" customWidth="1"/>
    <col min="12308" max="12308" width="2" style="1" customWidth="1"/>
    <col min="12309" max="12309" width="15.5" style="1" customWidth="1"/>
    <col min="12310" max="12310" width="8.5" style="1" customWidth="1"/>
    <col min="12311" max="12311" width="16.5" style="1" bestFit="1" customWidth="1"/>
    <col min="12312" max="12316" width="8.83203125" style="1"/>
    <col min="12317" max="12317" width="17.1640625" style="1" customWidth="1"/>
    <col min="12318" max="12318" width="16" style="1" customWidth="1"/>
    <col min="12319" max="12319" width="9.6640625" style="1" customWidth="1"/>
    <col min="12320" max="12320" width="11.5" style="1" customWidth="1"/>
    <col min="12321" max="12542" width="8.83203125" style="1"/>
    <col min="12543" max="12543" width="2.5" style="1" customWidth="1"/>
    <col min="12544" max="12544" width="2" style="1" customWidth="1"/>
    <col min="12545" max="12545" width="17.83203125" style="1" customWidth="1"/>
    <col min="12546" max="12546" width="10.5" style="1" customWidth="1"/>
    <col min="12547" max="12549" width="9" style="1" customWidth="1"/>
    <col min="12550" max="12550" width="8.33203125" style="1" customWidth="1"/>
    <col min="12551" max="12551" width="11.5" style="1" customWidth="1"/>
    <col min="12552" max="12552" width="8.5" style="1" customWidth="1"/>
    <col min="12553" max="12554" width="8" style="1" customWidth="1"/>
    <col min="12555" max="12555" width="7" style="1" customWidth="1"/>
    <col min="12556" max="12556" width="8" style="1" customWidth="1"/>
    <col min="12557" max="12557" width="9" style="1" customWidth="1"/>
    <col min="12558" max="12559" width="8" style="1" customWidth="1"/>
    <col min="12560" max="12560" width="7.33203125" style="1" customWidth="1"/>
    <col min="12561" max="12561" width="7.5" style="1" customWidth="1"/>
    <col min="12562" max="12562" width="10.5" style="1" customWidth="1"/>
    <col min="12563" max="12563" width="9" style="1" customWidth="1"/>
    <col min="12564" max="12564" width="2" style="1" customWidth="1"/>
    <col min="12565" max="12565" width="15.5" style="1" customWidth="1"/>
    <col min="12566" max="12566" width="8.5" style="1" customWidth="1"/>
    <col min="12567" max="12567" width="16.5" style="1" bestFit="1" customWidth="1"/>
    <col min="12568" max="12572" width="8.83203125" style="1"/>
    <col min="12573" max="12573" width="17.1640625" style="1" customWidth="1"/>
    <col min="12574" max="12574" width="16" style="1" customWidth="1"/>
    <col min="12575" max="12575" width="9.6640625" style="1" customWidth="1"/>
    <col min="12576" max="12576" width="11.5" style="1" customWidth="1"/>
    <col min="12577" max="12798" width="8.83203125" style="1"/>
    <col min="12799" max="12799" width="2.5" style="1" customWidth="1"/>
    <col min="12800" max="12800" width="2" style="1" customWidth="1"/>
    <col min="12801" max="12801" width="17.83203125" style="1" customWidth="1"/>
    <col min="12802" max="12802" width="10.5" style="1" customWidth="1"/>
    <col min="12803" max="12805" width="9" style="1" customWidth="1"/>
    <col min="12806" max="12806" width="8.33203125" style="1" customWidth="1"/>
    <col min="12807" max="12807" width="11.5" style="1" customWidth="1"/>
    <col min="12808" max="12808" width="8.5" style="1" customWidth="1"/>
    <col min="12809" max="12810" width="8" style="1" customWidth="1"/>
    <col min="12811" max="12811" width="7" style="1" customWidth="1"/>
    <col min="12812" max="12812" width="8" style="1" customWidth="1"/>
    <col min="12813" max="12813" width="9" style="1" customWidth="1"/>
    <col min="12814" max="12815" width="8" style="1" customWidth="1"/>
    <col min="12816" max="12816" width="7.33203125" style="1" customWidth="1"/>
    <col min="12817" max="12817" width="7.5" style="1" customWidth="1"/>
    <col min="12818" max="12818" width="10.5" style="1" customWidth="1"/>
    <col min="12819" max="12819" width="9" style="1" customWidth="1"/>
    <col min="12820" max="12820" width="2" style="1" customWidth="1"/>
    <col min="12821" max="12821" width="15.5" style="1" customWidth="1"/>
    <col min="12822" max="12822" width="8.5" style="1" customWidth="1"/>
    <col min="12823" max="12823" width="16.5" style="1" bestFit="1" customWidth="1"/>
    <col min="12824" max="12828" width="8.83203125" style="1"/>
    <col min="12829" max="12829" width="17.1640625" style="1" customWidth="1"/>
    <col min="12830" max="12830" width="16" style="1" customWidth="1"/>
    <col min="12831" max="12831" width="9.6640625" style="1" customWidth="1"/>
    <col min="12832" max="12832" width="11.5" style="1" customWidth="1"/>
    <col min="12833" max="13054" width="8.83203125" style="1"/>
    <col min="13055" max="13055" width="2.5" style="1" customWidth="1"/>
    <col min="13056" max="13056" width="2" style="1" customWidth="1"/>
    <col min="13057" max="13057" width="17.83203125" style="1" customWidth="1"/>
    <col min="13058" max="13058" width="10.5" style="1" customWidth="1"/>
    <col min="13059" max="13061" width="9" style="1" customWidth="1"/>
    <col min="13062" max="13062" width="8.33203125" style="1" customWidth="1"/>
    <col min="13063" max="13063" width="11.5" style="1" customWidth="1"/>
    <col min="13064" max="13064" width="8.5" style="1" customWidth="1"/>
    <col min="13065" max="13066" width="8" style="1" customWidth="1"/>
    <col min="13067" max="13067" width="7" style="1" customWidth="1"/>
    <col min="13068" max="13068" width="8" style="1" customWidth="1"/>
    <col min="13069" max="13069" width="9" style="1" customWidth="1"/>
    <col min="13070" max="13071" width="8" style="1" customWidth="1"/>
    <col min="13072" max="13072" width="7.33203125" style="1" customWidth="1"/>
    <col min="13073" max="13073" width="7.5" style="1" customWidth="1"/>
    <col min="13074" max="13074" width="10.5" style="1" customWidth="1"/>
    <col min="13075" max="13075" width="9" style="1" customWidth="1"/>
    <col min="13076" max="13076" width="2" style="1" customWidth="1"/>
    <col min="13077" max="13077" width="15.5" style="1" customWidth="1"/>
    <col min="13078" max="13078" width="8.5" style="1" customWidth="1"/>
    <col min="13079" max="13079" width="16.5" style="1" bestFit="1" customWidth="1"/>
    <col min="13080" max="13084" width="8.83203125" style="1"/>
    <col min="13085" max="13085" width="17.1640625" style="1" customWidth="1"/>
    <col min="13086" max="13086" width="16" style="1" customWidth="1"/>
    <col min="13087" max="13087" width="9.6640625" style="1" customWidth="1"/>
    <col min="13088" max="13088" width="11.5" style="1" customWidth="1"/>
    <col min="13089" max="13310" width="8.83203125" style="1"/>
    <col min="13311" max="13311" width="2.5" style="1" customWidth="1"/>
    <col min="13312" max="13312" width="2" style="1" customWidth="1"/>
    <col min="13313" max="13313" width="17.83203125" style="1" customWidth="1"/>
    <col min="13314" max="13314" width="10.5" style="1" customWidth="1"/>
    <col min="13315" max="13317" width="9" style="1" customWidth="1"/>
    <col min="13318" max="13318" width="8.33203125" style="1" customWidth="1"/>
    <col min="13319" max="13319" width="11.5" style="1" customWidth="1"/>
    <col min="13320" max="13320" width="8.5" style="1" customWidth="1"/>
    <col min="13321" max="13322" width="8" style="1" customWidth="1"/>
    <col min="13323" max="13323" width="7" style="1" customWidth="1"/>
    <col min="13324" max="13324" width="8" style="1" customWidth="1"/>
    <col min="13325" max="13325" width="9" style="1" customWidth="1"/>
    <col min="13326" max="13327" width="8" style="1" customWidth="1"/>
    <col min="13328" max="13328" width="7.33203125" style="1" customWidth="1"/>
    <col min="13329" max="13329" width="7.5" style="1" customWidth="1"/>
    <col min="13330" max="13330" width="10.5" style="1" customWidth="1"/>
    <col min="13331" max="13331" width="9" style="1" customWidth="1"/>
    <col min="13332" max="13332" width="2" style="1" customWidth="1"/>
    <col min="13333" max="13333" width="15.5" style="1" customWidth="1"/>
    <col min="13334" max="13334" width="8.5" style="1" customWidth="1"/>
    <col min="13335" max="13335" width="16.5" style="1" bestFit="1" customWidth="1"/>
    <col min="13336" max="13340" width="8.83203125" style="1"/>
    <col min="13341" max="13341" width="17.1640625" style="1" customWidth="1"/>
    <col min="13342" max="13342" width="16" style="1" customWidth="1"/>
    <col min="13343" max="13343" width="9.6640625" style="1" customWidth="1"/>
    <col min="13344" max="13344" width="11.5" style="1" customWidth="1"/>
    <col min="13345" max="13566" width="8.83203125" style="1"/>
    <col min="13567" max="13567" width="2.5" style="1" customWidth="1"/>
    <col min="13568" max="13568" width="2" style="1" customWidth="1"/>
    <col min="13569" max="13569" width="17.83203125" style="1" customWidth="1"/>
    <col min="13570" max="13570" width="10.5" style="1" customWidth="1"/>
    <col min="13571" max="13573" width="9" style="1" customWidth="1"/>
    <col min="13574" max="13574" width="8.33203125" style="1" customWidth="1"/>
    <col min="13575" max="13575" width="11.5" style="1" customWidth="1"/>
    <col min="13576" max="13576" width="8.5" style="1" customWidth="1"/>
    <col min="13577" max="13578" width="8" style="1" customWidth="1"/>
    <col min="13579" max="13579" width="7" style="1" customWidth="1"/>
    <col min="13580" max="13580" width="8" style="1" customWidth="1"/>
    <col min="13581" max="13581" width="9" style="1" customWidth="1"/>
    <col min="13582" max="13583" width="8" style="1" customWidth="1"/>
    <col min="13584" max="13584" width="7.33203125" style="1" customWidth="1"/>
    <col min="13585" max="13585" width="7.5" style="1" customWidth="1"/>
    <col min="13586" max="13586" width="10.5" style="1" customWidth="1"/>
    <col min="13587" max="13587" width="9" style="1" customWidth="1"/>
    <col min="13588" max="13588" width="2" style="1" customWidth="1"/>
    <col min="13589" max="13589" width="15.5" style="1" customWidth="1"/>
    <col min="13590" max="13590" width="8.5" style="1" customWidth="1"/>
    <col min="13591" max="13591" width="16.5" style="1" bestFit="1" customWidth="1"/>
    <col min="13592" max="13596" width="8.83203125" style="1"/>
    <col min="13597" max="13597" width="17.1640625" style="1" customWidth="1"/>
    <col min="13598" max="13598" width="16" style="1" customWidth="1"/>
    <col min="13599" max="13599" width="9.6640625" style="1" customWidth="1"/>
    <col min="13600" max="13600" width="11.5" style="1" customWidth="1"/>
    <col min="13601" max="13822" width="8.83203125" style="1"/>
    <col min="13823" max="13823" width="2.5" style="1" customWidth="1"/>
    <col min="13824" max="13824" width="2" style="1" customWidth="1"/>
    <col min="13825" max="13825" width="17.83203125" style="1" customWidth="1"/>
    <col min="13826" max="13826" width="10.5" style="1" customWidth="1"/>
    <col min="13827" max="13829" width="9" style="1" customWidth="1"/>
    <col min="13830" max="13830" width="8.33203125" style="1" customWidth="1"/>
    <col min="13831" max="13831" width="11.5" style="1" customWidth="1"/>
    <col min="13832" max="13832" width="8.5" style="1" customWidth="1"/>
    <col min="13833" max="13834" width="8" style="1" customWidth="1"/>
    <col min="13835" max="13835" width="7" style="1" customWidth="1"/>
    <col min="13836" max="13836" width="8" style="1" customWidth="1"/>
    <col min="13837" max="13837" width="9" style="1" customWidth="1"/>
    <col min="13838" max="13839" width="8" style="1" customWidth="1"/>
    <col min="13840" max="13840" width="7.33203125" style="1" customWidth="1"/>
    <col min="13841" max="13841" width="7.5" style="1" customWidth="1"/>
    <col min="13842" max="13842" width="10.5" style="1" customWidth="1"/>
    <col min="13843" max="13843" width="9" style="1" customWidth="1"/>
    <col min="13844" max="13844" width="2" style="1" customWidth="1"/>
    <col min="13845" max="13845" width="15.5" style="1" customWidth="1"/>
    <col min="13846" max="13846" width="8.5" style="1" customWidth="1"/>
    <col min="13847" max="13847" width="16.5" style="1" bestFit="1" customWidth="1"/>
    <col min="13848" max="13852" width="8.83203125" style="1"/>
    <col min="13853" max="13853" width="17.1640625" style="1" customWidth="1"/>
    <col min="13854" max="13854" width="16" style="1" customWidth="1"/>
    <col min="13855" max="13855" width="9.6640625" style="1" customWidth="1"/>
    <col min="13856" max="13856" width="11.5" style="1" customWidth="1"/>
    <col min="13857" max="14078" width="8.83203125" style="1"/>
    <col min="14079" max="14079" width="2.5" style="1" customWidth="1"/>
    <col min="14080" max="14080" width="2" style="1" customWidth="1"/>
    <col min="14081" max="14081" width="17.83203125" style="1" customWidth="1"/>
    <col min="14082" max="14082" width="10.5" style="1" customWidth="1"/>
    <col min="14083" max="14085" width="9" style="1" customWidth="1"/>
    <col min="14086" max="14086" width="8.33203125" style="1" customWidth="1"/>
    <col min="14087" max="14087" width="11.5" style="1" customWidth="1"/>
    <col min="14088" max="14088" width="8.5" style="1" customWidth="1"/>
    <col min="14089" max="14090" width="8" style="1" customWidth="1"/>
    <col min="14091" max="14091" width="7" style="1" customWidth="1"/>
    <col min="14092" max="14092" width="8" style="1" customWidth="1"/>
    <col min="14093" max="14093" width="9" style="1" customWidth="1"/>
    <col min="14094" max="14095" width="8" style="1" customWidth="1"/>
    <col min="14096" max="14096" width="7.33203125" style="1" customWidth="1"/>
    <col min="14097" max="14097" width="7.5" style="1" customWidth="1"/>
    <col min="14098" max="14098" width="10.5" style="1" customWidth="1"/>
    <col min="14099" max="14099" width="9" style="1" customWidth="1"/>
    <col min="14100" max="14100" width="2" style="1" customWidth="1"/>
    <col min="14101" max="14101" width="15.5" style="1" customWidth="1"/>
    <col min="14102" max="14102" width="8.5" style="1" customWidth="1"/>
    <col min="14103" max="14103" width="16.5" style="1" bestFit="1" customWidth="1"/>
    <col min="14104" max="14108" width="8.83203125" style="1"/>
    <col min="14109" max="14109" width="17.1640625" style="1" customWidth="1"/>
    <col min="14110" max="14110" width="16" style="1" customWidth="1"/>
    <col min="14111" max="14111" width="9.6640625" style="1" customWidth="1"/>
    <col min="14112" max="14112" width="11.5" style="1" customWidth="1"/>
    <col min="14113" max="14334" width="8.83203125" style="1"/>
    <col min="14335" max="14335" width="2.5" style="1" customWidth="1"/>
    <col min="14336" max="14336" width="2" style="1" customWidth="1"/>
    <col min="14337" max="14337" width="17.83203125" style="1" customWidth="1"/>
    <col min="14338" max="14338" width="10.5" style="1" customWidth="1"/>
    <col min="14339" max="14341" width="9" style="1" customWidth="1"/>
    <col min="14342" max="14342" width="8.33203125" style="1" customWidth="1"/>
    <col min="14343" max="14343" width="11.5" style="1" customWidth="1"/>
    <col min="14344" max="14344" width="8.5" style="1" customWidth="1"/>
    <col min="14345" max="14346" width="8" style="1" customWidth="1"/>
    <col min="14347" max="14347" width="7" style="1" customWidth="1"/>
    <col min="14348" max="14348" width="8" style="1" customWidth="1"/>
    <col min="14349" max="14349" width="9" style="1" customWidth="1"/>
    <col min="14350" max="14351" width="8" style="1" customWidth="1"/>
    <col min="14352" max="14352" width="7.33203125" style="1" customWidth="1"/>
    <col min="14353" max="14353" width="7.5" style="1" customWidth="1"/>
    <col min="14354" max="14354" width="10.5" style="1" customWidth="1"/>
    <col min="14355" max="14355" width="9" style="1" customWidth="1"/>
    <col min="14356" max="14356" width="2" style="1" customWidth="1"/>
    <col min="14357" max="14357" width="15.5" style="1" customWidth="1"/>
    <col min="14358" max="14358" width="8.5" style="1" customWidth="1"/>
    <col min="14359" max="14359" width="16.5" style="1" bestFit="1" customWidth="1"/>
    <col min="14360" max="14364" width="8.83203125" style="1"/>
    <col min="14365" max="14365" width="17.1640625" style="1" customWidth="1"/>
    <col min="14366" max="14366" width="16" style="1" customWidth="1"/>
    <col min="14367" max="14367" width="9.6640625" style="1" customWidth="1"/>
    <col min="14368" max="14368" width="11.5" style="1" customWidth="1"/>
    <col min="14369" max="14590" width="8.83203125" style="1"/>
    <col min="14591" max="14591" width="2.5" style="1" customWidth="1"/>
    <col min="14592" max="14592" width="2" style="1" customWidth="1"/>
    <col min="14593" max="14593" width="17.83203125" style="1" customWidth="1"/>
    <col min="14594" max="14594" width="10.5" style="1" customWidth="1"/>
    <col min="14595" max="14597" width="9" style="1" customWidth="1"/>
    <col min="14598" max="14598" width="8.33203125" style="1" customWidth="1"/>
    <col min="14599" max="14599" width="11.5" style="1" customWidth="1"/>
    <col min="14600" max="14600" width="8.5" style="1" customWidth="1"/>
    <col min="14601" max="14602" width="8" style="1" customWidth="1"/>
    <col min="14603" max="14603" width="7" style="1" customWidth="1"/>
    <col min="14604" max="14604" width="8" style="1" customWidth="1"/>
    <col min="14605" max="14605" width="9" style="1" customWidth="1"/>
    <col min="14606" max="14607" width="8" style="1" customWidth="1"/>
    <col min="14608" max="14608" width="7.33203125" style="1" customWidth="1"/>
    <col min="14609" max="14609" width="7.5" style="1" customWidth="1"/>
    <col min="14610" max="14610" width="10.5" style="1" customWidth="1"/>
    <col min="14611" max="14611" width="9" style="1" customWidth="1"/>
    <col min="14612" max="14612" width="2" style="1" customWidth="1"/>
    <col min="14613" max="14613" width="15.5" style="1" customWidth="1"/>
    <col min="14614" max="14614" width="8.5" style="1" customWidth="1"/>
    <col min="14615" max="14615" width="16.5" style="1" bestFit="1" customWidth="1"/>
    <col min="14616" max="14620" width="8.83203125" style="1"/>
    <col min="14621" max="14621" width="17.1640625" style="1" customWidth="1"/>
    <col min="14622" max="14622" width="16" style="1" customWidth="1"/>
    <col min="14623" max="14623" width="9.6640625" style="1" customWidth="1"/>
    <col min="14624" max="14624" width="11.5" style="1" customWidth="1"/>
    <col min="14625" max="14846" width="8.83203125" style="1"/>
    <col min="14847" max="14847" width="2.5" style="1" customWidth="1"/>
    <col min="14848" max="14848" width="2" style="1" customWidth="1"/>
    <col min="14849" max="14849" width="17.83203125" style="1" customWidth="1"/>
    <col min="14850" max="14850" width="10.5" style="1" customWidth="1"/>
    <col min="14851" max="14853" width="9" style="1" customWidth="1"/>
    <col min="14854" max="14854" width="8.33203125" style="1" customWidth="1"/>
    <col min="14855" max="14855" width="11.5" style="1" customWidth="1"/>
    <col min="14856" max="14856" width="8.5" style="1" customWidth="1"/>
    <col min="14857" max="14858" width="8" style="1" customWidth="1"/>
    <col min="14859" max="14859" width="7" style="1" customWidth="1"/>
    <col min="14860" max="14860" width="8" style="1" customWidth="1"/>
    <col min="14861" max="14861" width="9" style="1" customWidth="1"/>
    <col min="14862" max="14863" width="8" style="1" customWidth="1"/>
    <col min="14864" max="14864" width="7.33203125" style="1" customWidth="1"/>
    <col min="14865" max="14865" width="7.5" style="1" customWidth="1"/>
    <col min="14866" max="14866" width="10.5" style="1" customWidth="1"/>
    <col min="14867" max="14867" width="9" style="1" customWidth="1"/>
    <col min="14868" max="14868" width="2" style="1" customWidth="1"/>
    <col min="14869" max="14869" width="15.5" style="1" customWidth="1"/>
    <col min="14870" max="14870" width="8.5" style="1" customWidth="1"/>
    <col min="14871" max="14871" width="16.5" style="1" bestFit="1" customWidth="1"/>
    <col min="14872" max="14876" width="8.83203125" style="1"/>
    <col min="14877" max="14877" width="17.1640625" style="1" customWidth="1"/>
    <col min="14878" max="14878" width="16" style="1" customWidth="1"/>
    <col min="14879" max="14879" width="9.6640625" style="1" customWidth="1"/>
    <col min="14880" max="14880" width="11.5" style="1" customWidth="1"/>
    <col min="14881" max="15102" width="8.83203125" style="1"/>
    <col min="15103" max="15103" width="2.5" style="1" customWidth="1"/>
    <col min="15104" max="15104" width="2" style="1" customWidth="1"/>
    <col min="15105" max="15105" width="17.83203125" style="1" customWidth="1"/>
    <col min="15106" max="15106" width="10.5" style="1" customWidth="1"/>
    <col min="15107" max="15109" width="9" style="1" customWidth="1"/>
    <col min="15110" max="15110" width="8.33203125" style="1" customWidth="1"/>
    <col min="15111" max="15111" width="11.5" style="1" customWidth="1"/>
    <col min="15112" max="15112" width="8.5" style="1" customWidth="1"/>
    <col min="15113" max="15114" width="8" style="1" customWidth="1"/>
    <col min="15115" max="15115" width="7" style="1" customWidth="1"/>
    <col min="15116" max="15116" width="8" style="1" customWidth="1"/>
    <col min="15117" max="15117" width="9" style="1" customWidth="1"/>
    <col min="15118" max="15119" width="8" style="1" customWidth="1"/>
    <col min="15120" max="15120" width="7.33203125" style="1" customWidth="1"/>
    <col min="15121" max="15121" width="7.5" style="1" customWidth="1"/>
    <col min="15122" max="15122" width="10.5" style="1" customWidth="1"/>
    <col min="15123" max="15123" width="9" style="1" customWidth="1"/>
    <col min="15124" max="15124" width="2" style="1" customWidth="1"/>
    <col min="15125" max="15125" width="15.5" style="1" customWidth="1"/>
    <col min="15126" max="15126" width="8.5" style="1" customWidth="1"/>
    <col min="15127" max="15127" width="16.5" style="1" bestFit="1" customWidth="1"/>
    <col min="15128" max="15132" width="8.83203125" style="1"/>
    <col min="15133" max="15133" width="17.1640625" style="1" customWidth="1"/>
    <col min="15134" max="15134" width="16" style="1" customWidth="1"/>
    <col min="15135" max="15135" width="9.6640625" style="1" customWidth="1"/>
    <col min="15136" max="15136" width="11.5" style="1" customWidth="1"/>
    <col min="15137" max="15358" width="8.83203125" style="1"/>
    <col min="15359" max="15359" width="2.5" style="1" customWidth="1"/>
    <col min="15360" max="15360" width="2" style="1" customWidth="1"/>
    <col min="15361" max="15361" width="17.83203125" style="1" customWidth="1"/>
    <col min="15362" max="15362" width="10.5" style="1" customWidth="1"/>
    <col min="15363" max="15365" width="9" style="1" customWidth="1"/>
    <col min="15366" max="15366" width="8.33203125" style="1" customWidth="1"/>
    <col min="15367" max="15367" width="11.5" style="1" customWidth="1"/>
    <col min="15368" max="15368" width="8.5" style="1" customWidth="1"/>
    <col min="15369" max="15370" width="8" style="1" customWidth="1"/>
    <col min="15371" max="15371" width="7" style="1" customWidth="1"/>
    <col min="15372" max="15372" width="8" style="1" customWidth="1"/>
    <col min="15373" max="15373" width="9" style="1" customWidth="1"/>
    <col min="15374" max="15375" width="8" style="1" customWidth="1"/>
    <col min="15376" max="15376" width="7.33203125" style="1" customWidth="1"/>
    <col min="15377" max="15377" width="7.5" style="1" customWidth="1"/>
    <col min="15378" max="15378" width="10.5" style="1" customWidth="1"/>
    <col min="15379" max="15379" width="9" style="1" customWidth="1"/>
    <col min="15380" max="15380" width="2" style="1" customWidth="1"/>
    <col min="15381" max="15381" width="15.5" style="1" customWidth="1"/>
    <col min="15382" max="15382" width="8.5" style="1" customWidth="1"/>
    <col min="15383" max="15383" width="16.5" style="1" bestFit="1" customWidth="1"/>
    <col min="15384" max="15388" width="8.83203125" style="1"/>
    <col min="15389" max="15389" width="17.1640625" style="1" customWidth="1"/>
    <col min="15390" max="15390" width="16" style="1" customWidth="1"/>
    <col min="15391" max="15391" width="9.6640625" style="1" customWidth="1"/>
    <col min="15392" max="15392" width="11.5" style="1" customWidth="1"/>
    <col min="15393" max="15614" width="8.83203125" style="1"/>
    <col min="15615" max="15615" width="2.5" style="1" customWidth="1"/>
    <col min="15616" max="15616" width="2" style="1" customWidth="1"/>
    <col min="15617" max="15617" width="17.83203125" style="1" customWidth="1"/>
    <col min="15618" max="15618" width="10.5" style="1" customWidth="1"/>
    <col min="15619" max="15621" width="9" style="1" customWidth="1"/>
    <col min="15622" max="15622" width="8.33203125" style="1" customWidth="1"/>
    <col min="15623" max="15623" width="11.5" style="1" customWidth="1"/>
    <col min="15624" max="15624" width="8.5" style="1" customWidth="1"/>
    <col min="15625" max="15626" width="8" style="1" customWidth="1"/>
    <col min="15627" max="15627" width="7" style="1" customWidth="1"/>
    <col min="15628" max="15628" width="8" style="1" customWidth="1"/>
    <col min="15629" max="15629" width="9" style="1" customWidth="1"/>
    <col min="15630" max="15631" width="8" style="1" customWidth="1"/>
    <col min="15632" max="15632" width="7.33203125" style="1" customWidth="1"/>
    <col min="15633" max="15633" width="7.5" style="1" customWidth="1"/>
    <col min="15634" max="15634" width="10.5" style="1" customWidth="1"/>
    <col min="15635" max="15635" width="9" style="1" customWidth="1"/>
    <col min="15636" max="15636" width="2" style="1" customWidth="1"/>
    <col min="15637" max="15637" width="15.5" style="1" customWidth="1"/>
    <col min="15638" max="15638" width="8.5" style="1" customWidth="1"/>
    <col min="15639" max="15639" width="16.5" style="1" bestFit="1" customWidth="1"/>
    <col min="15640" max="15644" width="8.83203125" style="1"/>
    <col min="15645" max="15645" width="17.1640625" style="1" customWidth="1"/>
    <col min="15646" max="15646" width="16" style="1" customWidth="1"/>
    <col min="15647" max="15647" width="9.6640625" style="1" customWidth="1"/>
    <col min="15648" max="15648" width="11.5" style="1" customWidth="1"/>
    <col min="15649" max="15870" width="8.83203125" style="1"/>
    <col min="15871" max="15871" width="2.5" style="1" customWidth="1"/>
    <col min="15872" max="15872" width="2" style="1" customWidth="1"/>
    <col min="15873" max="15873" width="17.83203125" style="1" customWidth="1"/>
    <col min="15874" max="15874" width="10.5" style="1" customWidth="1"/>
    <col min="15875" max="15877" width="9" style="1" customWidth="1"/>
    <col min="15878" max="15878" width="8.33203125" style="1" customWidth="1"/>
    <col min="15879" max="15879" width="11.5" style="1" customWidth="1"/>
    <col min="15880" max="15880" width="8.5" style="1" customWidth="1"/>
    <col min="15881" max="15882" width="8" style="1" customWidth="1"/>
    <col min="15883" max="15883" width="7" style="1" customWidth="1"/>
    <col min="15884" max="15884" width="8" style="1" customWidth="1"/>
    <col min="15885" max="15885" width="9" style="1" customWidth="1"/>
    <col min="15886" max="15887" width="8" style="1" customWidth="1"/>
    <col min="15888" max="15888" width="7.33203125" style="1" customWidth="1"/>
    <col min="15889" max="15889" width="7.5" style="1" customWidth="1"/>
    <col min="15890" max="15890" width="10.5" style="1" customWidth="1"/>
    <col min="15891" max="15891" width="9" style="1" customWidth="1"/>
    <col min="15892" max="15892" width="2" style="1" customWidth="1"/>
    <col min="15893" max="15893" width="15.5" style="1" customWidth="1"/>
    <col min="15894" max="15894" width="8.5" style="1" customWidth="1"/>
    <col min="15895" max="15895" width="16.5" style="1" bestFit="1" customWidth="1"/>
    <col min="15896" max="15900" width="8.83203125" style="1"/>
    <col min="15901" max="15901" width="17.1640625" style="1" customWidth="1"/>
    <col min="15902" max="15902" width="16" style="1" customWidth="1"/>
    <col min="15903" max="15903" width="9.6640625" style="1" customWidth="1"/>
    <col min="15904" max="15904" width="11.5" style="1" customWidth="1"/>
    <col min="15905" max="16126" width="8.83203125" style="1"/>
    <col min="16127" max="16127" width="2.5" style="1" customWidth="1"/>
    <col min="16128" max="16128" width="2" style="1" customWidth="1"/>
    <col min="16129" max="16129" width="17.83203125" style="1" customWidth="1"/>
    <col min="16130" max="16130" width="10.5" style="1" customWidth="1"/>
    <col min="16131" max="16133" width="9" style="1" customWidth="1"/>
    <col min="16134" max="16134" width="8.33203125" style="1" customWidth="1"/>
    <col min="16135" max="16135" width="11.5" style="1" customWidth="1"/>
    <col min="16136" max="16136" width="8.5" style="1" customWidth="1"/>
    <col min="16137" max="16138" width="8" style="1" customWidth="1"/>
    <col min="16139" max="16139" width="7" style="1" customWidth="1"/>
    <col min="16140" max="16140" width="8" style="1" customWidth="1"/>
    <col min="16141" max="16141" width="9" style="1" customWidth="1"/>
    <col min="16142" max="16143" width="8" style="1" customWidth="1"/>
    <col min="16144" max="16144" width="7.33203125" style="1" customWidth="1"/>
    <col min="16145" max="16145" width="7.5" style="1" customWidth="1"/>
    <col min="16146" max="16146" width="10.5" style="1" customWidth="1"/>
    <col min="16147" max="16147" width="9" style="1" customWidth="1"/>
    <col min="16148" max="16148" width="2" style="1" customWidth="1"/>
    <col min="16149" max="16149" width="15.5" style="1" customWidth="1"/>
    <col min="16150" max="16150" width="8.5" style="1" customWidth="1"/>
    <col min="16151" max="16151" width="16.5" style="1" bestFit="1" customWidth="1"/>
    <col min="16152" max="16156" width="8.83203125" style="1"/>
    <col min="16157" max="16157" width="17.1640625" style="1" customWidth="1"/>
    <col min="16158" max="16158" width="16" style="1" customWidth="1"/>
    <col min="16159" max="16159" width="9.6640625" style="1" customWidth="1"/>
    <col min="16160" max="16160" width="11.5" style="1" customWidth="1"/>
    <col min="16161" max="16384" width="8.83203125" style="1"/>
  </cols>
  <sheetData>
    <row r="2" spans="1:32" ht="15" x14ac:dyDescent="0.15">
      <c r="C2" s="208"/>
    </row>
    <row r="3" spans="1:32" ht="14" thickBot="1" x14ac:dyDescent="0.2">
      <c r="B3" s="184">
        <v>2.5</v>
      </c>
      <c r="C3" s="9">
        <v>26</v>
      </c>
      <c r="D3" s="9">
        <v>11</v>
      </c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4">
        <v>2.5</v>
      </c>
      <c r="W3" s="184"/>
    </row>
    <row r="4" spans="1:32" ht="11.5" customHeight="1" x14ac:dyDescent="0.15">
      <c r="B4" s="230"/>
      <c r="C4" s="231"/>
      <c r="D4" s="232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4"/>
    </row>
    <row r="5" spans="1:32" ht="11.5" customHeight="1" x14ac:dyDescent="0.15">
      <c r="B5" s="235"/>
      <c r="C5" s="236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54" t="s">
        <v>460</v>
      </c>
      <c r="V5" s="238"/>
    </row>
    <row r="6" spans="1:32" ht="11.5" customHeight="1" x14ac:dyDescent="0.15">
      <c r="B6" s="235"/>
      <c r="C6" s="236"/>
      <c r="D6" s="239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8"/>
    </row>
    <row r="7" spans="1:32" ht="11.5" customHeight="1" x14ac:dyDescent="0.15">
      <c r="B7" s="235"/>
      <c r="C7" s="236"/>
      <c r="D7" s="77" t="s">
        <v>458</v>
      </c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1"/>
      <c r="V7" s="238"/>
    </row>
    <row r="8" spans="1:32" ht="11.5" customHeight="1" x14ac:dyDescent="0.15">
      <c r="A8" s="2"/>
      <c r="B8" s="235"/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  <c r="U8" s="237"/>
      <c r="V8" s="238"/>
      <c r="W8" s="118"/>
      <c r="X8" s="118"/>
      <c r="Y8" s="118"/>
      <c r="Z8" s="118"/>
      <c r="AA8" s="118"/>
      <c r="AB8" s="118"/>
      <c r="AC8" s="118"/>
      <c r="AD8" s="118"/>
      <c r="AE8" s="118"/>
    </row>
    <row r="9" spans="1:32" ht="14" customHeight="1" thickBot="1" x14ac:dyDescent="0.2">
      <c r="B9" s="242"/>
      <c r="C9" s="210" t="s">
        <v>400</v>
      </c>
      <c r="D9" s="211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3" t="s">
        <v>391</v>
      </c>
      <c r="V9" s="243"/>
      <c r="W9" s="118"/>
      <c r="X9" s="118"/>
      <c r="Y9" s="118"/>
      <c r="Z9" s="118"/>
      <c r="AA9" s="118"/>
      <c r="AB9" s="118"/>
      <c r="AC9" s="118"/>
      <c r="AD9" s="118"/>
      <c r="AE9" s="118"/>
    </row>
    <row r="10" spans="1:32" ht="14" customHeight="1" thickBot="1" x14ac:dyDescent="0.2">
      <c r="B10" s="242"/>
      <c r="C10" s="482" t="s">
        <v>395</v>
      </c>
      <c r="D10" s="482" t="s">
        <v>68</v>
      </c>
      <c r="E10" s="482" t="s">
        <v>363</v>
      </c>
      <c r="F10" s="482" t="s">
        <v>374</v>
      </c>
      <c r="G10" s="482" t="s">
        <v>0</v>
      </c>
      <c r="H10" s="484" t="s">
        <v>7</v>
      </c>
      <c r="I10" s="484"/>
      <c r="J10" s="484"/>
      <c r="K10" s="484"/>
      <c r="L10" s="484"/>
      <c r="M10" s="484"/>
      <c r="N10" s="484"/>
      <c r="O10" s="482" t="s">
        <v>66</v>
      </c>
      <c r="P10" s="482" t="s">
        <v>40</v>
      </c>
      <c r="Q10" s="482" t="s">
        <v>360</v>
      </c>
      <c r="R10" s="482" t="s">
        <v>361</v>
      </c>
      <c r="S10" s="482" t="s">
        <v>362</v>
      </c>
      <c r="T10" s="482" t="s">
        <v>44</v>
      </c>
      <c r="U10" s="482" t="s">
        <v>46</v>
      </c>
      <c r="V10" s="243"/>
      <c r="W10" s="118"/>
      <c r="X10" s="118"/>
      <c r="Y10" s="118"/>
      <c r="Z10" s="118"/>
      <c r="AA10" s="118"/>
      <c r="AB10" s="118"/>
      <c r="AC10" s="118"/>
      <c r="AD10" s="118"/>
      <c r="AE10" s="118"/>
      <c r="AF10" s="485"/>
    </row>
    <row r="11" spans="1:32" ht="32" customHeight="1" thickBot="1" x14ac:dyDescent="0.2">
      <c r="B11" s="242"/>
      <c r="C11" s="483"/>
      <c r="D11" s="483"/>
      <c r="E11" s="483"/>
      <c r="F11" s="483"/>
      <c r="G11" s="483"/>
      <c r="H11" s="214" t="s">
        <v>393</v>
      </c>
      <c r="I11" s="214" t="s">
        <v>2</v>
      </c>
      <c r="J11" s="214" t="s">
        <v>3</v>
      </c>
      <c r="K11" s="214" t="s">
        <v>4</v>
      </c>
      <c r="L11" s="214" t="s">
        <v>5</v>
      </c>
      <c r="M11" s="214" t="s">
        <v>394</v>
      </c>
      <c r="N11" s="214" t="s">
        <v>6</v>
      </c>
      <c r="O11" s="483"/>
      <c r="P11" s="483"/>
      <c r="Q11" s="483"/>
      <c r="R11" s="483"/>
      <c r="S11" s="483"/>
      <c r="T11" s="483"/>
      <c r="U11" s="483"/>
      <c r="V11" s="243"/>
      <c r="W11" s="118"/>
      <c r="X11" s="118"/>
      <c r="Y11" s="118"/>
      <c r="Z11" s="118"/>
      <c r="AA11" s="118"/>
      <c r="AB11" s="118"/>
      <c r="AC11" s="118"/>
      <c r="AD11" s="118"/>
      <c r="AE11" s="118"/>
      <c r="AF11" s="485"/>
    </row>
    <row r="12" spans="1:32" ht="14.5" customHeight="1" x14ac:dyDescent="0.15">
      <c r="B12" s="242"/>
      <c r="C12" s="262" t="s">
        <v>380</v>
      </c>
      <c r="D12" s="216">
        <v>1871081</v>
      </c>
      <c r="E12" s="217">
        <v>495.01282794000002</v>
      </c>
      <c r="F12" s="217">
        <v>298.25568708999998</v>
      </c>
      <c r="G12" s="217">
        <v>42360.830416839999</v>
      </c>
      <c r="H12" s="217">
        <v>337.5808462</v>
      </c>
      <c r="I12" s="217">
        <v>338.94461544000001</v>
      </c>
      <c r="J12" s="217">
        <v>53.150653009999999</v>
      </c>
      <c r="K12" s="217">
        <v>489.12944649000002</v>
      </c>
      <c r="L12" s="217">
        <v>8.5045019999999999E-2</v>
      </c>
      <c r="M12" s="217">
        <v>169.02606133999998</v>
      </c>
      <c r="N12" s="217">
        <v>58.274754499999744</v>
      </c>
      <c r="O12" s="217">
        <v>380.83866573</v>
      </c>
      <c r="P12" s="217">
        <v>3.7591650000000004E-2</v>
      </c>
      <c r="Q12" s="217">
        <v>57.901210030000001</v>
      </c>
      <c r="R12" s="217">
        <v>3.2308799999999998E-3</v>
      </c>
      <c r="S12" s="217">
        <v>58.600518690000001</v>
      </c>
      <c r="T12" s="217">
        <v>224066.64443048002</v>
      </c>
      <c r="U12" s="217">
        <v>19164.342375699998</v>
      </c>
      <c r="V12" s="244">
        <v>0</v>
      </c>
      <c r="W12" s="178">
        <f>Q12+R12-S12</f>
        <v>-0.69607778000000309</v>
      </c>
      <c r="X12" s="118"/>
      <c r="Y12" s="118"/>
      <c r="Z12" s="118"/>
      <c r="AA12" s="118"/>
      <c r="AB12" s="118"/>
      <c r="AC12" s="118"/>
      <c r="AD12" s="118"/>
      <c r="AE12" s="118"/>
      <c r="AF12" s="178"/>
    </row>
    <row r="13" spans="1:32" ht="14.5" customHeight="1" x14ac:dyDescent="0.15">
      <c r="B13" s="242"/>
      <c r="C13" s="302" t="s">
        <v>381</v>
      </c>
      <c r="D13" s="221">
        <v>904716</v>
      </c>
      <c r="E13" s="222">
        <v>6256.0956755699999</v>
      </c>
      <c r="F13" s="222">
        <v>339.59272276000002</v>
      </c>
      <c r="G13" s="222">
        <v>28517.036230559999</v>
      </c>
      <c r="H13" s="222">
        <v>215.90688795</v>
      </c>
      <c r="I13" s="222">
        <v>171.28418363999998</v>
      </c>
      <c r="J13" s="222">
        <v>34.378832869999997</v>
      </c>
      <c r="K13" s="222">
        <v>227.89848178</v>
      </c>
      <c r="L13" s="222">
        <v>0.54405172000000002</v>
      </c>
      <c r="M13" s="222">
        <v>56.006314219999993</v>
      </c>
      <c r="N13" s="222">
        <v>834.03878605999978</v>
      </c>
      <c r="O13" s="222">
        <v>5011.0698039300005</v>
      </c>
      <c r="P13" s="222">
        <v>9.5985070000000006E-2</v>
      </c>
      <c r="Q13" s="222">
        <v>36.81622729</v>
      </c>
      <c r="R13" s="222">
        <v>3.8123300000000006E-2</v>
      </c>
      <c r="S13" s="222">
        <v>36.970599660000005</v>
      </c>
      <c r="T13" s="222">
        <v>103989.27148261</v>
      </c>
      <c r="U13" s="222">
        <v>10003.15498177</v>
      </c>
      <c r="V13" s="244">
        <v>1</v>
      </c>
      <c r="W13" s="178">
        <f t="shared" ref="W13:W22" si="0">Q13+R13-S13</f>
        <v>-0.11624907000000206</v>
      </c>
      <c r="X13" s="118"/>
      <c r="Y13" s="118"/>
      <c r="Z13" s="118"/>
      <c r="AA13" s="118"/>
      <c r="AB13" s="118"/>
      <c r="AC13" s="118"/>
      <c r="AD13" s="118"/>
      <c r="AE13" s="118"/>
      <c r="AF13" s="178"/>
    </row>
    <row r="14" spans="1:32" ht="14.5" customHeight="1" x14ac:dyDescent="0.15">
      <c r="B14" s="242"/>
      <c r="C14" s="302" t="s">
        <v>382</v>
      </c>
      <c r="D14" s="221">
        <v>1543403</v>
      </c>
      <c r="E14" s="222">
        <v>18219.02027153</v>
      </c>
      <c r="F14" s="222">
        <v>1262.6531189699999</v>
      </c>
      <c r="G14" s="222">
        <v>40374.226865789999</v>
      </c>
      <c r="H14" s="222">
        <v>480.31051868999998</v>
      </c>
      <c r="I14" s="222">
        <v>405.90973344000002</v>
      </c>
      <c r="J14" s="222">
        <v>79.863592680000011</v>
      </c>
      <c r="K14" s="222">
        <v>546.73691893</v>
      </c>
      <c r="L14" s="222">
        <v>5.5857540300000004</v>
      </c>
      <c r="M14" s="222">
        <v>109.81071697</v>
      </c>
      <c r="N14" s="222">
        <v>2334.3758760000001</v>
      </c>
      <c r="O14" s="222">
        <v>14727.485430060002</v>
      </c>
      <c r="P14" s="222">
        <v>0.57488380000000006</v>
      </c>
      <c r="Q14" s="222">
        <v>134.68875944000001</v>
      </c>
      <c r="R14" s="222">
        <v>0.19987680999999999</v>
      </c>
      <c r="S14" s="222">
        <v>135.35727422000002</v>
      </c>
      <c r="T14" s="222">
        <v>183755.91632242</v>
      </c>
      <c r="U14" s="222">
        <v>15924.42057977</v>
      </c>
      <c r="V14" s="244">
        <v>2</v>
      </c>
      <c r="W14" s="178">
        <f t="shared" si="0"/>
        <v>-0.46863797000000318</v>
      </c>
      <c r="X14" s="118"/>
      <c r="Y14" s="118"/>
      <c r="Z14" s="118"/>
      <c r="AA14" s="118"/>
      <c r="AB14" s="118"/>
      <c r="AC14" s="118"/>
      <c r="AD14" s="118"/>
      <c r="AE14" s="118"/>
      <c r="AF14" s="178"/>
    </row>
    <row r="15" spans="1:32" ht="14.5" customHeight="1" x14ac:dyDescent="0.15">
      <c r="B15" s="242"/>
      <c r="C15" s="302" t="s">
        <v>383</v>
      </c>
      <c r="D15" s="221">
        <v>3261522</v>
      </c>
      <c r="E15" s="222">
        <v>67059.93160548</v>
      </c>
      <c r="F15" s="222">
        <v>2696.89166479</v>
      </c>
      <c r="G15" s="222">
        <v>45686.894259939996</v>
      </c>
      <c r="H15" s="222">
        <v>1135.7383028400002</v>
      </c>
      <c r="I15" s="222">
        <v>822.67627691999996</v>
      </c>
      <c r="J15" s="222">
        <v>164.48441635</v>
      </c>
      <c r="K15" s="222">
        <v>809.19859528999996</v>
      </c>
      <c r="L15" s="222">
        <v>34.135753219999998</v>
      </c>
      <c r="M15" s="222">
        <v>121.92654199000002</v>
      </c>
      <c r="N15" s="222">
        <v>10207.144562510002</v>
      </c>
      <c r="O15" s="222">
        <v>54284.177068969999</v>
      </c>
      <c r="P15" s="222">
        <v>2.68396473</v>
      </c>
      <c r="Q15" s="222">
        <v>294.31416526999999</v>
      </c>
      <c r="R15" s="222">
        <v>1.54218301</v>
      </c>
      <c r="S15" s="222">
        <v>297.35108521000001</v>
      </c>
      <c r="T15" s="222">
        <v>385852.42418561998</v>
      </c>
      <c r="U15" s="222">
        <v>58950.109492240008</v>
      </c>
      <c r="V15" s="244">
        <v>3</v>
      </c>
      <c r="W15" s="178">
        <f t="shared" si="0"/>
        <v>-1.4947369300000446</v>
      </c>
      <c r="X15" s="118"/>
      <c r="Y15" s="118"/>
      <c r="Z15" s="118"/>
      <c r="AA15" s="118"/>
      <c r="AB15" s="118"/>
      <c r="AC15" s="118"/>
      <c r="AD15" s="118"/>
      <c r="AE15" s="118"/>
      <c r="AF15" s="178"/>
    </row>
    <row r="16" spans="1:32" ht="14.5" customHeight="1" x14ac:dyDescent="0.15">
      <c r="B16" s="242"/>
      <c r="C16" s="302" t="s">
        <v>384</v>
      </c>
      <c r="D16" s="221">
        <v>8213527</v>
      </c>
      <c r="E16" s="222">
        <v>241516.21089324</v>
      </c>
      <c r="F16" s="222">
        <v>16261.85093067</v>
      </c>
      <c r="G16" s="222">
        <v>80332.580824309989</v>
      </c>
      <c r="H16" s="222">
        <v>8793.4232119500011</v>
      </c>
      <c r="I16" s="222">
        <v>8553.9611457600004</v>
      </c>
      <c r="J16" s="222">
        <v>2855.6538654400001</v>
      </c>
      <c r="K16" s="222">
        <v>6394.3602717600006</v>
      </c>
      <c r="L16" s="222">
        <v>415.81989312000002</v>
      </c>
      <c r="M16" s="222">
        <v>1238.9675579500001</v>
      </c>
      <c r="N16" s="222">
        <v>31973.467812949999</v>
      </c>
      <c r="O16" s="222">
        <v>183198.89444214999</v>
      </c>
      <c r="P16" s="222">
        <v>1493.48194186</v>
      </c>
      <c r="Q16" s="222">
        <v>3094.7830928599997</v>
      </c>
      <c r="R16" s="222">
        <v>399.38076962999997</v>
      </c>
      <c r="S16" s="222">
        <v>2038.58621303</v>
      </c>
      <c r="T16" s="222">
        <v>710073.14786142996</v>
      </c>
      <c r="U16" s="222">
        <v>72310.279424339999</v>
      </c>
      <c r="V16" s="244">
        <v>4</v>
      </c>
      <c r="W16" s="178">
        <f t="shared" si="0"/>
        <v>1455.5776494599997</v>
      </c>
      <c r="X16" s="118"/>
      <c r="Y16" s="118"/>
      <c r="Z16" s="118"/>
      <c r="AA16" s="118"/>
      <c r="AB16" s="118"/>
      <c r="AC16" s="118"/>
      <c r="AD16" s="118"/>
      <c r="AE16" s="118"/>
      <c r="AF16" s="178"/>
    </row>
    <row r="17" spans="2:32" ht="14.5" customHeight="1" x14ac:dyDescent="0.15">
      <c r="B17" s="242"/>
      <c r="C17" s="302" t="s">
        <v>385</v>
      </c>
      <c r="D17" s="221">
        <v>6564386</v>
      </c>
      <c r="E17" s="222">
        <v>341383.36424437002</v>
      </c>
      <c r="F17" s="222">
        <v>32388.992078390002</v>
      </c>
      <c r="G17" s="222">
        <v>108820.3976401</v>
      </c>
      <c r="H17" s="222">
        <v>16144.982244199999</v>
      </c>
      <c r="I17" s="222">
        <v>11793.39924492</v>
      </c>
      <c r="J17" s="222">
        <v>8000.2877855699999</v>
      </c>
      <c r="K17" s="222">
        <v>16188.056474360001</v>
      </c>
      <c r="L17" s="222">
        <v>1999.4418162500001</v>
      </c>
      <c r="M17" s="222">
        <v>3522.3577632199999</v>
      </c>
      <c r="N17" s="222">
        <v>35425.153759559973</v>
      </c>
      <c r="O17" s="222">
        <v>249558.54320284002</v>
      </c>
      <c r="P17" s="222">
        <v>14477.032547790001</v>
      </c>
      <c r="Q17" s="222">
        <v>17670.417761860001</v>
      </c>
      <c r="R17" s="222">
        <v>2863.0909201200002</v>
      </c>
      <c r="S17" s="222">
        <v>6253.4397425300003</v>
      </c>
      <c r="T17" s="222">
        <v>941615.39148646989</v>
      </c>
      <c r="U17" s="222">
        <v>105155.31540900999</v>
      </c>
      <c r="V17" s="244">
        <v>5</v>
      </c>
      <c r="W17" s="178">
        <f t="shared" si="0"/>
        <v>14280.06893945</v>
      </c>
      <c r="X17" s="118"/>
      <c r="Y17" s="118"/>
      <c r="Z17" s="118"/>
      <c r="AA17" s="118"/>
      <c r="AB17" s="118"/>
      <c r="AC17" s="118"/>
      <c r="AD17" s="118"/>
      <c r="AE17" s="118"/>
      <c r="AF17" s="178"/>
    </row>
    <row r="18" spans="2:32" ht="14.5" customHeight="1" x14ac:dyDescent="0.15">
      <c r="B18" s="242"/>
      <c r="C18" s="302" t="s">
        <v>386</v>
      </c>
      <c r="D18" s="221">
        <v>2787200</v>
      </c>
      <c r="E18" s="222">
        <v>280152.22032778</v>
      </c>
      <c r="F18" s="222">
        <v>33474.55442316</v>
      </c>
      <c r="G18" s="222">
        <v>87067.495126850001</v>
      </c>
      <c r="H18" s="222">
        <v>14300.674661390001</v>
      </c>
      <c r="I18" s="222">
        <v>5467.6864073999996</v>
      </c>
      <c r="J18" s="222">
        <v>5142.4325674600004</v>
      </c>
      <c r="K18" s="222">
        <v>13809.09526566</v>
      </c>
      <c r="L18" s="222">
        <v>3296.6136408699999</v>
      </c>
      <c r="M18" s="222">
        <v>3483.7126206200001</v>
      </c>
      <c r="N18" s="222">
        <v>17871.889865910009</v>
      </c>
      <c r="O18" s="222">
        <v>217074.43859010999</v>
      </c>
      <c r="P18" s="222">
        <v>33635.934432230002</v>
      </c>
      <c r="Q18" s="222">
        <v>33590.739213339999</v>
      </c>
      <c r="R18" s="222">
        <v>4432.88192557</v>
      </c>
      <c r="S18" s="222">
        <v>4658.6586837900004</v>
      </c>
      <c r="T18" s="222">
        <v>920409.02331110998</v>
      </c>
      <c r="U18" s="222">
        <v>89935.390486789998</v>
      </c>
      <c r="V18" s="244">
        <v>6</v>
      </c>
      <c r="W18" s="178">
        <f t="shared" si="0"/>
        <v>33364.962455119996</v>
      </c>
      <c r="X18" s="118"/>
      <c r="Y18" s="118"/>
      <c r="Z18" s="118"/>
      <c r="AA18" s="118"/>
      <c r="AB18" s="118"/>
      <c r="AC18" s="118"/>
      <c r="AD18" s="118"/>
      <c r="AE18" s="118"/>
      <c r="AF18" s="178"/>
    </row>
    <row r="19" spans="2:32" ht="14.5" customHeight="1" x14ac:dyDescent="0.15">
      <c r="B19" s="242"/>
      <c r="C19" s="302" t="s">
        <v>387</v>
      </c>
      <c r="D19" s="221">
        <v>1033760</v>
      </c>
      <c r="E19" s="222">
        <v>201026.64594136996</v>
      </c>
      <c r="F19" s="222">
        <v>30878.816601940001</v>
      </c>
      <c r="G19" s="222">
        <v>69600.12761132</v>
      </c>
      <c r="H19" s="222">
        <v>13960.91789554</v>
      </c>
      <c r="I19" s="222">
        <v>2169.4613955599998</v>
      </c>
      <c r="J19" s="222">
        <v>2016.29502843</v>
      </c>
      <c r="K19" s="222">
        <v>8769.6514607199988</v>
      </c>
      <c r="L19" s="222">
        <v>3334.0639678699999</v>
      </c>
      <c r="M19" s="222">
        <v>2734.3398582500004</v>
      </c>
      <c r="N19" s="222">
        <v>2968.1148184300037</v>
      </c>
      <c r="O19" s="222">
        <v>165268.76418077</v>
      </c>
      <c r="P19" s="222">
        <v>35721.247697600003</v>
      </c>
      <c r="Q19" s="222">
        <v>34129.445674039998</v>
      </c>
      <c r="R19" s="222">
        <v>3438.6226051899998</v>
      </c>
      <c r="S19" s="222">
        <v>2084.4809555400002</v>
      </c>
      <c r="T19" s="222">
        <v>811105.77116711996</v>
      </c>
      <c r="U19" s="222">
        <v>64716.06359012</v>
      </c>
      <c r="V19" s="244">
        <v>7</v>
      </c>
      <c r="W19" s="178">
        <f t="shared" si="0"/>
        <v>35483.587323690001</v>
      </c>
      <c r="X19" s="118"/>
      <c r="Y19" s="118"/>
      <c r="Z19" s="118"/>
      <c r="AA19" s="118"/>
      <c r="AB19" s="118"/>
      <c r="AC19" s="118"/>
      <c r="AD19" s="118"/>
      <c r="AE19" s="118"/>
      <c r="AF19" s="178"/>
    </row>
    <row r="20" spans="2:32" ht="14.5" customHeight="1" x14ac:dyDescent="0.15">
      <c r="B20" s="242"/>
      <c r="C20" s="302" t="s">
        <v>388</v>
      </c>
      <c r="D20" s="221">
        <v>255897</v>
      </c>
      <c r="E20" s="222">
        <v>86560.200444529997</v>
      </c>
      <c r="F20" s="222">
        <v>21951.158926489999</v>
      </c>
      <c r="G20" s="222">
        <v>46942.481055239994</v>
      </c>
      <c r="H20" s="222">
        <v>5528.3586984800004</v>
      </c>
      <c r="I20" s="222">
        <v>546.73459068</v>
      </c>
      <c r="J20" s="222">
        <v>497.74087000999998</v>
      </c>
      <c r="K20" s="222">
        <v>2955.0839841300003</v>
      </c>
      <c r="L20" s="222">
        <v>2222.2453013099998</v>
      </c>
      <c r="M20" s="222">
        <v>1144.53375785</v>
      </c>
      <c r="N20" s="222">
        <v>533.21352832999764</v>
      </c>
      <c r="O20" s="222">
        <v>73186.651122980009</v>
      </c>
      <c r="P20" s="222">
        <v>17858.596713580002</v>
      </c>
      <c r="Q20" s="222">
        <v>16356.899269620002</v>
      </c>
      <c r="R20" s="222">
        <v>1838.7727384200002</v>
      </c>
      <c r="S20" s="222">
        <v>659.49469924000005</v>
      </c>
      <c r="T20" s="222">
        <v>520571.26121529995</v>
      </c>
      <c r="U20" s="222">
        <v>30915.490318079999</v>
      </c>
      <c r="V20" s="244">
        <v>8</v>
      </c>
      <c r="W20" s="178">
        <f t="shared" si="0"/>
        <v>17536.177308800001</v>
      </c>
      <c r="X20" s="118"/>
      <c r="Y20" s="118"/>
      <c r="Z20" s="118"/>
      <c r="AA20" s="118"/>
      <c r="AB20" s="118"/>
      <c r="AC20" s="118"/>
      <c r="AD20" s="118"/>
      <c r="AE20" s="118"/>
      <c r="AF20" s="178"/>
    </row>
    <row r="21" spans="2:32" ht="14.5" customHeight="1" x14ac:dyDescent="0.15">
      <c r="B21" s="242"/>
      <c r="C21" s="302" t="s">
        <v>389</v>
      </c>
      <c r="D21" s="221">
        <v>40677</v>
      </c>
      <c r="E21" s="222">
        <v>22731.485858590004</v>
      </c>
      <c r="F21" s="222">
        <v>12834.474662099999</v>
      </c>
      <c r="G21" s="222">
        <v>25149.019114290004</v>
      </c>
      <c r="H21" s="222">
        <v>847.44562247999988</v>
      </c>
      <c r="I21" s="222">
        <v>81.061842839999997</v>
      </c>
      <c r="J21" s="222">
        <v>72.009585729999998</v>
      </c>
      <c r="K21" s="222">
        <v>520.05671219999999</v>
      </c>
      <c r="L21" s="222">
        <v>1010.8959808</v>
      </c>
      <c r="M21" s="222">
        <v>194.43173710000002</v>
      </c>
      <c r="N21" s="222">
        <v>126.75526072999992</v>
      </c>
      <c r="O21" s="222">
        <v>19914.320340620001</v>
      </c>
      <c r="P21" s="222">
        <v>5176.1791145500001</v>
      </c>
      <c r="Q21" s="222">
        <v>4485.5588969300006</v>
      </c>
      <c r="R21" s="222">
        <v>654.01052991999995</v>
      </c>
      <c r="S21" s="222">
        <v>152.03124686000001</v>
      </c>
      <c r="T21" s="222">
        <v>288389.34254365996</v>
      </c>
      <c r="U21" s="222">
        <v>15627.617720979999</v>
      </c>
      <c r="V21" s="244">
        <v>9</v>
      </c>
      <c r="W21" s="178">
        <f t="shared" si="0"/>
        <v>4987.5381799900006</v>
      </c>
      <c r="X21" s="118"/>
      <c r="Y21" s="118"/>
      <c r="Z21" s="118"/>
      <c r="AA21" s="118"/>
      <c r="AB21" s="118"/>
      <c r="AC21" s="118"/>
      <c r="AD21" s="118"/>
      <c r="AE21" s="118"/>
      <c r="AF21" s="178"/>
    </row>
    <row r="22" spans="2:32" ht="14.5" customHeight="1" thickBot="1" x14ac:dyDescent="0.2">
      <c r="B22" s="242"/>
      <c r="C22" s="303" t="s">
        <v>390</v>
      </c>
      <c r="D22" s="224">
        <v>18247</v>
      </c>
      <c r="E22" s="225">
        <v>27805.113602519996</v>
      </c>
      <c r="F22" s="225">
        <v>54974.208046599997</v>
      </c>
      <c r="G22" s="225">
        <v>57320.172555140001</v>
      </c>
      <c r="H22" s="225">
        <v>617.63939570000002</v>
      </c>
      <c r="I22" s="225">
        <v>34.010850840000003</v>
      </c>
      <c r="J22" s="225">
        <v>28.407496309999999</v>
      </c>
      <c r="K22" s="225">
        <v>310.43109808999998</v>
      </c>
      <c r="L22" s="225">
        <v>4770.9753020200005</v>
      </c>
      <c r="M22" s="225">
        <v>168.79298155000001</v>
      </c>
      <c r="N22" s="225">
        <v>53.33990815999914</v>
      </c>
      <c r="O22" s="225">
        <v>21906.771802149997</v>
      </c>
      <c r="P22" s="225">
        <v>5866.5241515899997</v>
      </c>
      <c r="Q22" s="225">
        <v>4950.8208489299996</v>
      </c>
      <c r="R22" s="225">
        <v>934.53458391000004</v>
      </c>
      <c r="S22" s="225">
        <v>128.55747989</v>
      </c>
      <c r="T22" s="225">
        <v>735649.50502943993</v>
      </c>
      <c r="U22" s="225">
        <v>26196.265098640004</v>
      </c>
      <c r="V22" s="244">
        <v>10</v>
      </c>
      <c r="W22" s="178">
        <f t="shared" si="0"/>
        <v>5756.7979529499999</v>
      </c>
      <c r="X22" s="118"/>
      <c r="Y22" s="118"/>
      <c r="Z22" s="118"/>
      <c r="AA22" s="118"/>
      <c r="AB22" s="118"/>
      <c r="AC22" s="118"/>
      <c r="AD22" s="118"/>
      <c r="AE22" s="118"/>
      <c r="AF22" s="178"/>
    </row>
    <row r="23" spans="2:32" ht="14.5" customHeight="1" thickBot="1" x14ac:dyDescent="0.2">
      <c r="B23" s="242"/>
      <c r="C23" s="245" t="s">
        <v>64</v>
      </c>
      <c r="D23" s="246">
        <v>26494416</v>
      </c>
      <c r="E23" s="246">
        <v>1293205.30169292</v>
      </c>
      <c r="F23" s="246">
        <v>207361.44886295998</v>
      </c>
      <c r="G23" s="246">
        <v>632171.26170038001</v>
      </c>
      <c r="H23" s="246">
        <v>62362.978285420002</v>
      </c>
      <c r="I23" s="246">
        <v>30385.130287440003</v>
      </c>
      <c r="J23" s="246">
        <v>18944.704693859996</v>
      </c>
      <c r="K23" s="246">
        <v>51019.698709410004</v>
      </c>
      <c r="L23" s="246">
        <v>17090.40650623</v>
      </c>
      <c r="M23" s="246">
        <v>12943.905911059999</v>
      </c>
      <c r="N23" s="246">
        <v>102385.76893313997</v>
      </c>
      <c r="O23" s="246">
        <v>1004511.9546503101</v>
      </c>
      <c r="P23" s="246">
        <v>114232.38902445001</v>
      </c>
      <c r="Q23" s="246">
        <v>114802.38511961</v>
      </c>
      <c r="R23" s="246">
        <v>14563.077486760001</v>
      </c>
      <c r="S23" s="246">
        <v>16503.528498660002</v>
      </c>
      <c r="T23" s="246">
        <v>5825477.6990356594</v>
      </c>
      <c r="U23" s="246">
        <v>508898.44947743998</v>
      </c>
      <c r="V23" s="243"/>
      <c r="X23" s="118"/>
    </row>
    <row r="24" spans="2:32" ht="15" customHeight="1" x14ac:dyDescent="0.15">
      <c r="B24" s="242"/>
      <c r="C24" s="247"/>
      <c r="D24" s="247"/>
      <c r="E24" s="247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455"/>
      <c r="R24" s="247"/>
      <c r="S24" s="247"/>
      <c r="T24" s="247"/>
      <c r="U24" s="247"/>
      <c r="V24" s="243"/>
    </row>
    <row r="25" spans="2:32" ht="15" customHeight="1" x14ac:dyDescent="0.15">
      <c r="B25" s="248"/>
      <c r="C25" s="247">
        <v>0</v>
      </c>
      <c r="D25" s="420">
        <f>D12</f>
        <v>1871081</v>
      </c>
      <c r="E25" s="247">
        <f>(E12+F12)*1000000</f>
        <v>793268515.02999997</v>
      </c>
      <c r="F25" s="247">
        <f>E25-L12*1000000</f>
        <v>793183470.00999999</v>
      </c>
      <c r="G25" s="398" t="str">
        <f t="shared" ref="G25:G34" si="1">IF(AND(E25/D25&lt;=C26,E25/D25&gt;=C25), "OK", "ERROR")</f>
        <v>OK</v>
      </c>
      <c r="H25" s="398" t="str">
        <f>IF(AND(F25/D25&lt;=C26,F25/D25&gt;=C25), "OK", "ERROR")</f>
        <v>OK</v>
      </c>
      <c r="I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3"/>
    </row>
    <row r="26" spans="2:32" ht="15" customHeight="1" x14ac:dyDescent="0.15">
      <c r="B26" s="248"/>
      <c r="C26" s="418">
        <v>4068</v>
      </c>
      <c r="D26" s="420">
        <f t="shared" ref="D26:D35" si="2">D13</f>
        <v>904716</v>
      </c>
      <c r="E26" s="247">
        <f t="shared" ref="E26:E35" si="3">(E13+F13)*1000000</f>
        <v>6595688398.3299999</v>
      </c>
      <c r="F26" s="247">
        <f t="shared" ref="F26:F35" si="4">E26-L13*1000000</f>
        <v>6595144346.6099997</v>
      </c>
      <c r="G26" s="398" t="str">
        <f t="shared" si="1"/>
        <v>OK</v>
      </c>
      <c r="H26" s="398" t="str">
        <f t="shared" ref="H26:H34" si="5">IF(AND(F26/D26&lt;=C27,F26/D26&gt;=C26), "OK", "ERROR")</f>
        <v>OK</v>
      </c>
      <c r="I26" s="212"/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43"/>
    </row>
    <row r="27" spans="2:32" ht="15" customHeight="1" x14ac:dyDescent="0.15">
      <c r="B27" s="248"/>
      <c r="C27" s="419">
        <v>8136</v>
      </c>
      <c r="D27" s="420">
        <f t="shared" si="2"/>
        <v>1543403</v>
      </c>
      <c r="E27" s="247">
        <f t="shared" si="3"/>
        <v>19481673390.5</v>
      </c>
      <c r="F27" s="247">
        <f t="shared" si="4"/>
        <v>19476087636.470001</v>
      </c>
      <c r="G27" s="398" t="str">
        <f t="shared" si="1"/>
        <v>OK</v>
      </c>
      <c r="H27" s="398" t="str">
        <f t="shared" si="5"/>
        <v>OK</v>
      </c>
      <c r="I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  <c r="V27" s="243"/>
    </row>
    <row r="28" spans="2:32" ht="15" customHeight="1" x14ac:dyDescent="0.15">
      <c r="B28" s="248"/>
      <c r="C28" s="419">
        <v>16272</v>
      </c>
      <c r="D28" s="420">
        <f t="shared" si="2"/>
        <v>3261522</v>
      </c>
      <c r="E28" s="247">
        <f t="shared" si="3"/>
        <v>69756823270.270004</v>
      </c>
      <c r="F28" s="247">
        <f t="shared" si="4"/>
        <v>69722687517.050003</v>
      </c>
      <c r="G28" s="398" t="str">
        <f t="shared" si="1"/>
        <v>OK</v>
      </c>
      <c r="H28" s="398" t="str">
        <f t="shared" si="5"/>
        <v>OK</v>
      </c>
      <c r="I28" s="247"/>
      <c r="K28" s="247"/>
      <c r="L28" s="247"/>
      <c r="M28" s="247"/>
      <c r="N28" s="247"/>
      <c r="O28" s="247"/>
      <c r="P28" s="247"/>
      <c r="Q28" s="247"/>
      <c r="R28" s="247"/>
      <c r="S28" s="247"/>
      <c r="T28" s="247"/>
      <c r="U28" s="247"/>
      <c r="V28" s="243"/>
    </row>
    <row r="29" spans="2:32" ht="15" customHeight="1" x14ac:dyDescent="0.15">
      <c r="B29" s="248"/>
      <c r="C29" s="419">
        <v>24408</v>
      </c>
      <c r="D29" s="420">
        <f t="shared" si="2"/>
        <v>8213527</v>
      </c>
      <c r="E29" s="247">
        <f t="shared" si="3"/>
        <v>257778061823.90997</v>
      </c>
      <c r="F29" s="247">
        <f t="shared" si="4"/>
        <v>257362241930.78998</v>
      </c>
      <c r="G29" s="398" t="str">
        <f t="shared" si="1"/>
        <v>OK</v>
      </c>
      <c r="H29" s="398" t="str">
        <f t="shared" si="5"/>
        <v>OK</v>
      </c>
      <c r="I29" s="247"/>
      <c r="K29" s="249"/>
      <c r="L29" s="247"/>
      <c r="M29" s="249"/>
      <c r="N29" s="249"/>
      <c r="O29" s="249"/>
      <c r="P29" s="249"/>
      <c r="Q29" s="249"/>
      <c r="R29" s="249"/>
      <c r="S29" s="249"/>
      <c r="T29" s="249"/>
      <c r="U29" s="249"/>
      <c r="V29" s="243"/>
      <c r="X29" s="118"/>
    </row>
    <row r="30" spans="2:32" ht="15" customHeight="1" x14ac:dyDescent="0.15">
      <c r="B30" s="248"/>
      <c r="C30" s="419">
        <v>40680</v>
      </c>
      <c r="D30" s="420">
        <f t="shared" si="2"/>
        <v>6564386</v>
      </c>
      <c r="E30" s="247">
        <f t="shared" si="3"/>
        <v>373772356322.76001</v>
      </c>
      <c r="F30" s="247">
        <f t="shared" si="4"/>
        <v>371772914506.51001</v>
      </c>
      <c r="G30" s="398" t="str">
        <f t="shared" si="1"/>
        <v>OK</v>
      </c>
      <c r="H30" s="398" t="str">
        <f t="shared" si="5"/>
        <v>OK</v>
      </c>
      <c r="I30" s="247"/>
      <c r="K30" s="247"/>
      <c r="L30" s="247"/>
      <c r="M30" s="247"/>
      <c r="N30" s="247"/>
      <c r="O30" s="247"/>
      <c r="P30" s="247"/>
      <c r="Q30" s="247"/>
      <c r="R30" s="247"/>
      <c r="S30" s="247"/>
      <c r="T30" s="247"/>
      <c r="U30" s="247"/>
      <c r="V30" s="243"/>
    </row>
    <row r="31" spans="2:32" ht="15" customHeight="1" x14ac:dyDescent="0.15">
      <c r="B31" s="248"/>
      <c r="C31" s="419">
        <v>81360</v>
      </c>
      <c r="D31" s="420">
        <f t="shared" si="2"/>
        <v>2787200</v>
      </c>
      <c r="E31" s="247">
        <f t="shared" si="3"/>
        <v>313626774750.94</v>
      </c>
      <c r="F31" s="247">
        <f t="shared" si="4"/>
        <v>310330161110.07001</v>
      </c>
      <c r="G31" s="398" t="str">
        <f t="shared" si="1"/>
        <v>OK</v>
      </c>
      <c r="H31" s="398" t="str">
        <f t="shared" si="5"/>
        <v>OK</v>
      </c>
      <c r="I31" s="247"/>
      <c r="K31" s="247"/>
      <c r="L31" s="247"/>
      <c r="M31" s="247"/>
      <c r="N31" s="247"/>
      <c r="O31" s="247"/>
      <c r="P31" s="247"/>
      <c r="Q31" s="247"/>
      <c r="R31" s="247"/>
      <c r="S31" s="247"/>
      <c r="T31" s="247"/>
      <c r="U31" s="247"/>
      <c r="V31" s="243"/>
    </row>
    <row r="32" spans="2:32" ht="15" customHeight="1" x14ac:dyDescent="0.15">
      <c r="B32" s="248"/>
      <c r="C32" s="419">
        <v>162720</v>
      </c>
      <c r="D32" s="420">
        <f t="shared" si="2"/>
        <v>1033760</v>
      </c>
      <c r="E32" s="247">
        <f t="shared" si="3"/>
        <v>231905462543.30997</v>
      </c>
      <c r="F32" s="247">
        <f t="shared" si="4"/>
        <v>228571398575.43997</v>
      </c>
      <c r="G32" s="398" t="str">
        <f t="shared" si="1"/>
        <v>OK</v>
      </c>
      <c r="H32" s="398" t="str">
        <f t="shared" si="5"/>
        <v>OK</v>
      </c>
      <c r="I32" s="247"/>
      <c r="K32" s="247"/>
      <c r="L32" s="247"/>
      <c r="M32" s="247"/>
      <c r="N32" s="247"/>
      <c r="O32" s="247"/>
      <c r="P32" s="247"/>
      <c r="Q32" s="247"/>
      <c r="R32" s="247"/>
      <c r="S32" s="247"/>
      <c r="T32" s="247"/>
      <c r="U32" s="247"/>
      <c r="V32" s="243"/>
    </row>
    <row r="33" spans="2:22" ht="15" customHeight="1" x14ac:dyDescent="0.15">
      <c r="B33" s="248"/>
      <c r="C33" s="419">
        <v>325440</v>
      </c>
      <c r="D33" s="420">
        <f t="shared" si="2"/>
        <v>255897</v>
      </c>
      <c r="E33" s="247">
        <f t="shared" si="3"/>
        <v>108511359371.01999</v>
      </c>
      <c r="F33" s="247">
        <f t="shared" si="4"/>
        <v>106289114069.70999</v>
      </c>
      <c r="G33" s="398" t="str">
        <f t="shared" si="1"/>
        <v>OK</v>
      </c>
      <c r="H33" s="398" t="str">
        <f t="shared" si="5"/>
        <v>OK</v>
      </c>
      <c r="I33" s="247"/>
      <c r="K33" s="247"/>
      <c r="L33" s="247"/>
      <c r="M33" s="247"/>
      <c r="N33" s="247"/>
      <c r="O33" s="247"/>
      <c r="P33" s="247"/>
      <c r="Q33" s="247"/>
      <c r="R33" s="247"/>
      <c r="S33" s="247"/>
      <c r="T33" s="247"/>
      <c r="U33" s="247"/>
      <c r="V33" s="243"/>
    </row>
    <row r="34" spans="2:22" ht="15" customHeight="1" x14ac:dyDescent="0.15">
      <c r="B34" s="248"/>
      <c r="C34" s="419">
        <v>650880</v>
      </c>
      <c r="D34" s="420">
        <f t="shared" si="2"/>
        <v>40677</v>
      </c>
      <c r="E34" s="247">
        <f t="shared" si="3"/>
        <v>35565960520.690002</v>
      </c>
      <c r="F34" s="247">
        <f t="shared" si="4"/>
        <v>34555064539.889999</v>
      </c>
      <c r="G34" s="398" t="str">
        <f t="shared" si="1"/>
        <v>OK</v>
      </c>
      <c r="H34" s="398" t="str">
        <f t="shared" si="5"/>
        <v>OK</v>
      </c>
      <c r="I34" s="247"/>
      <c r="K34" s="247"/>
      <c r="L34" s="247"/>
      <c r="M34" s="247"/>
      <c r="N34" s="247"/>
      <c r="O34" s="247"/>
      <c r="P34" s="247"/>
      <c r="Q34" s="247"/>
      <c r="R34" s="247"/>
      <c r="S34" s="247"/>
      <c r="T34" s="247"/>
      <c r="U34" s="247"/>
      <c r="V34" s="243"/>
    </row>
    <row r="35" spans="2:22" ht="15" customHeight="1" x14ac:dyDescent="0.15">
      <c r="B35" s="248"/>
      <c r="C35" s="419">
        <v>1301760</v>
      </c>
      <c r="D35" s="420">
        <f t="shared" si="2"/>
        <v>18247</v>
      </c>
      <c r="E35" s="247">
        <f t="shared" si="3"/>
        <v>82779321649.11998</v>
      </c>
      <c r="F35" s="247">
        <f t="shared" si="4"/>
        <v>78008346347.099976</v>
      </c>
      <c r="G35" s="398" t="str">
        <f>IF(AND(E35/D35&gt;=C35), "OK", "ERROR")</f>
        <v>OK</v>
      </c>
      <c r="H35" s="398" t="str">
        <f>IF(AND(F35/D35&gt;=C35), "OK", "ERROR")</f>
        <v>OK</v>
      </c>
      <c r="I35" s="247"/>
      <c r="K35" s="247"/>
      <c r="L35" s="247"/>
      <c r="M35" s="247"/>
      <c r="N35" s="247"/>
      <c r="O35" s="247"/>
      <c r="P35" s="247"/>
      <c r="Q35" s="247"/>
      <c r="R35" s="247"/>
      <c r="S35" s="247"/>
      <c r="T35" s="247"/>
      <c r="U35" s="247"/>
      <c r="V35" s="243"/>
    </row>
    <row r="36" spans="2:22" ht="15" customHeight="1" x14ac:dyDescent="0.15">
      <c r="B36" s="248"/>
      <c r="C36" s="247"/>
      <c r="D36" s="247"/>
      <c r="E36" s="247"/>
      <c r="F36" s="247"/>
      <c r="G36" s="247"/>
      <c r="H36" s="247"/>
      <c r="I36" s="247"/>
      <c r="J36" s="247"/>
      <c r="K36" s="247"/>
      <c r="L36" s="247"/>
      <c r="M36" s="247"/>
      <c r="N36" s="247"/>
      <c r="O36" s="247"/>
      <c r="P36" s="247"/>
      <c r="Q36" s="247"/>
      <c r="R36" s="247"/>
      <c r="S36" s="247"/>
      <c r="T36" s="247"/>
      <c r="U36" s="247"/>
      <c r="V36" s="243"/>
    </row>
    <row r="37" spans="2:22" ht="15" customHeight="1" x14ac:dyDescent="0.15">
      <c r="B37" s="248"/>
      <c r="C37" s="247"/>
      <c r="D37" s="247"/>
      <c r="E37" s="247"/>
      <c r="F37" s="247"/>
      <c r="G37" s="247"/>
      <c r="H37" s="247"/>
      <c r="I37" s="247"/>
      <c r="J37" s="247"/>
      <c r="K37" s="247"/>
      <c r="L37" s="247"/>
      <c r="M37" s="247"/>
      <c r="N37" s="247"/>
      <c r="O37" s="247"/>
      <c r="P37" s="247"/>
      <c r="Q37" s="247"/>
      <c r="R37" s="247"/>
      <c r="S37" s="247"/>
      <c r="T37" s="247"/>
      <c r="U37" s="247"/>
      <c r="V37" s="243"/>
    </row>
    <row r="38" spans="2:22" ht="15" customHeight="1" x14ac:dyDescent="0.15">
      <c r="B38" s="248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247"/>
      <c r="O38" s="247"/>
      <c r="P38" s="247"/>
      <c r="Q38" s="247"/>
      <c r="R38" s="247"/>
      <c r="S38" s="247"/>
      <c r="T38" s="247"/>
      <c r="U38" s="247"/>
      <c r="V38" s="243"/>
    </row>
    <row r="39" spans="2:22" ht="15" customHeight="1" x14ac:dyDescent="0.15">
      <c r="B39" s="248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247"/>
      <c r="O39" s="247"/>
      <c r="P39" s="247"/>
      <c r="Q39" s="247"/>
      <c r="R39" s="247"/>
      <c r="S39" s="247"/>
      <c r="T39" s="247"/>
      <c r="U39" s="247"/>
      <c r="V39" s="243"/>
    </row>
    <row r="40" spans="2:22" ht="15" customHeight="1" x14ac:dyDescent="0.15">
      <c r="B40" s="248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247"/>
      <c r="O40" s="247"/>
      <c r="P40" s="247"/>
      <c r="Q40" s="247"/>
      <c r="R40" s="247"/>
      <c r="S40" s="247"/>
      <c r="T40" s="247"/>
      <c r="U40" s="247"/>
      <c r="V40" s="243"/>
    </row>
    <row r="41" spans="2:22" ht="15" customHeight="1" x14ac:dyDescent="0.15">
      <c r="B41" s="248"/>
      <c r="C41" s="250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247"/>
      <c r="O41" s="247"/>
      <c r="P41" s="247"/>
      <c r="Q41" s="247"/>
      <c r="R41" s="247"/>
      <c r="S41" s="247"/>
      <c r="T41" s="247"/>
      <c r="U41" s="247"/>
      <c r="V41" s="243"/>
    </row>
    <row r="42" spans="2:22" ht="15" customHeight="1" x14ac:dyDescent="0.15">
      <c r="B42" s="248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7"/>
      <c r="Q42" s="247"/>
      <c r="R42" s="247"/>
      <c r="S42" s="247"/>
      <c r="T42" s="247"/>
      <c r="U42" s="247"/>
      <c r="V42" s="243"/>
    </row>
    <row r="43" spans="2:22" ht="15" customHeight="1" x14ac:dyDescent="0.15">
      <c r="B43" s="248"/>
      <c r="C43" s="247"/>
      <c r="D43" s="247"/>
      <c r="E43" s="247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7"/>
      <c r="Q43" s="247"/>
      <c r="R43" s="247"/>
      <c r="S43" s="247"/>
      <c r="T43" s="247"/>
      <c r="U43" s="247"/>
      <c r="V43" s="243"/>
    </row>
    <row r="44" spans="2:22" ht="15" customHeight="1" x14ac:dyDescent="0.15">
      <c r="B44" s="248"/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247"/>
      <c r="N44" s="247"/>
      <c r="O44" s="247"/>
      <c r="P44" s="247"/>
      <c r="Q44" s="247"/>
      <c r="R44" s="247"/>
      <c r="S44" s="247"/>
      <c r="T44" s="247"/>
      <c r="U44" s="247"/>
      <c r="V44" s="243"/>
    </row>
    <row r="45" spans="2:22" ht="15" customHeight="1" thickBot="1" x14ac:dyDescent="0.2">
      <c r="B45" s="251"/>
      <c r="C45" s="252"/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/>
      <c r="S45" s="252"/>
      <c r="T45" s="252"/>
      <c r="U45" s="252"/>
      <c r="V45" s="253"/>
    </row>
  </sheetData>
  <mergeCells count="14">
    <mergeCell ref="U10:U11"/>
    <mergeCell ref="AF10:AF11"/>
    <mergeCell ref="T10:T11"/>
    <mergeCell ref="C10:C11"/>
    <mergeCell ref="D10:D11"/>
    <mergeCell ref="E10:E11"/>
    <mergeCell ref="F10:F11"/>
    <mergeCell ref="G10:G11"/>
    <mergeCell ref="H10:N10"/>
    <mergeCell ref="O10:O11"/>
    <mergeCell ref="P10:P11"/>
    <mergeCell ref="Q10:Q11"/>
    <mergeCell ref="R10:R11"/>
    <mergeCell ref="S10:S11"/>
  </mergeCells>
  <conditionalFormatting sqref="K29">
    <cfRule type="cellIs" dxfId="21" priority="4" stopIfTrue="1" operator="equal">
      <formula>0</formula>
    </cfRule>
  </conditionalFormatting>
  <pageMargins left="0.25" right="0.25" top="0.75" bottom="0.75" header="0.3" footer="0.3"/>
  <pageSetup paperSize="9" scale="80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L93"/>
  <sheetViews>
    <sheetView showGridLines="0" tabSelected="1" topLeftCell="C52" zoomScale="138" workbookViewId="0">
      <selection activeCell="D62" sqref="D62"/>
    </sheetView>
  </sheetViews>
  <sheetFormatPr baseColWidth="10" defaultColWidth="8.83203125" defaultRowHeight="13" x14ac:dyDescent="0.15"/>
  <cols>
    <col min="1" max="1" width="7.5" style="1" customWidth="1"/>
    <col min="2" max="2" width="12.33203125" style="1" customWidth="1"/>
    <col min="3" max="3" width="17.83203125" style="1" customWidth="1"/>
    <col min="4" max="4" width="10.5" style="1" customWidth="1"/>
    <col min="5" max="5" width="18.5" style="1" customWidth="1"/>
    <col min="6" max="6" width="17" style="1" customWidth="1"/>
    <col min="7" max="7" width="12.83203125" style="1" customWidth="1"/>
    <col min="8" max="8" width="16.83203125" style="1" customWidth="1"/>
    <col min="9" max="9" width="21.33203125" style="1" customWidth="1"/>
    <col min="10" max="10" width="8.5" style="1" customWidth="1"/>
    <col min="11" max="11" width="8.1640625" style="1" customWidth="1"/>
    <col min="12" max="12" width="10.5" style="1" customWidth="1"/>
    <col min="13" max="13" width="7.5" style="1" customWidth="1"/>
    <col min="14" max="14" width="15.33203125" style="1" customWidth="1"/>
    <col min="15" max="16" width="14.6640625" style="1" customWidth="1"/>
    <col min="17" max="17" width="16" style="1" customWidth="1"/>
    <col min="18" max="18" width="14.5" style="1" customWidth="1"/>
    <col min="19" max="19" width="11.83203125" style="1" customWidth="1"/>
    <col min="20" max="20" width="13.1640625" style="1" customWidth="1"/>
    <col min="21" max="21" width="12.6640625" style="1" customWidth="1"/>
    <col min="22" max="22" width="2.33203125" style="1" customWidth="1"/>
    <col min="23" max="23" width="11.33203125" style="1" customWidth="1"/>
    <col min="24" max="24" width="16.1640625" style="1" bestFit="1" customWidth="1"/>
    <col min="25" max="25" width="13.1640625" style="1" customWidth="1"/>
    <col min="26" max="26" width="5.33203125" style="1" customWidth="1"/>
    <col min="27" max="27" width="12.33203125" style="1" bestFit="1" customWidth="1"/>
    <col min="28" max="28" width="12.83203125" style="1" bestFit="1" customWidth="1"/>
    <col min="29" max="29" width="17.33203125" style="1" bestFit="1" customWidth="1"/>
    <col min="30" max="31" width="5.33203125" style="1" customWidth="1"/>
    <col min="32" max="32" width="14.5" style="1" customWidth="1"/>
    <col min="33" max="33" width="5.5" style="1" customWidth="1"/>
    <col min="34" max="34" width="11" style="1" bestFit="1" customWidth="1"/>
    <col min="35" max="35" width="5.6640625" style="1" customWidth="1"/>
    <col min="36" max="36" width="27.6640625" style="1" bestFit="1" customWidth="1"/>
    <col min="37" max="37" width="8.83203125" style="1"/>
    <col min="38" max="38" width="17.1640625" style="1" customWidth="1"/>
    <col min="39" max="39" width="16" style="1" customWidth="1"/>
    <col min="40" max="40" width="9.6640625" style="1" customWidth="1"/>
    <col min="41" max="263" width="8.83203125" style="1"/>
    <col min="264" max="264" width="2.5" style="1" customWidth="1"/>
    <col min="265" max="265" width="2.33203125" style="1" customWidth="1"/>
    <col min="266" max="266" width="17.83203125" style="1" customWidth="1"/>
    <col min="267" max="267" width="10.5" style="1" customWidth="1"/>
    <col min="268" max="268" width="9" style="1" customWidth="1"/>
    <col min="269" max="269" width="8" style="1" customWidth="1"/>
    <col min="270" max="270" width="9" style="1" customWidth="1"/>
    <col min="271" max="271" width="8.5" style="1" customWidth="1"/>
    <col min="272" max="272" width="11.5" style="1" customWidth="1"/>
    <col min="273" max="273" width="8.5" style="1" customWidth="1"/>
    <col min="274" max="274" width="8.1640625" style="1" customWidth="1"/>
    <col min="275" max="275" width="7.33203125" style="1" customWidth="1"/>
    <col min="276" max="276" width="7.5" style="1" customWidth="1"/>
    <col min="277" max="277" width="8" style="1" customWidth="1"/>
    <col min="278" max="278" width="9" style="1" customWidth="1"/>
    <col min="279" max="280" width="8" style="1" customWidth="1"/>
    <col min="281" max="281" width="7.33203125" style="1" customWidth="1"/>
    <col min="282" max="282" width="7.5" style="1" customWidth="1"/>
    <col min="283" max="283" width="10.5" style="1" customWidth="1"/>
    <col min="284" max="284" width="9" style="1" customWidth="1"/>
    <col min="285" max="285" width="2.33203125" style="1" customWidth="1"/>
    <col min="286" max="286" width="15.5" style="1" customWidth="1"/>
    <col min="287" max="287" width="8.5" style="1" customWidth="1"/>
    <col min="288" max="288" width="15" style="1" customWidth="1"/>
    <col min="289" max="293" width="8.83203125" style="1"/>
    <col min="294" max="294" width="17.1640625" style="1" customWidth="1"/>
    <col min="295" max="295" width="16" style="1" customWidth="1"/>
    <col min="296" max="296" width="9.6640625" style="1" customWidth="1"/>
    <col min="297" max="519" width="8.83203125" style="1"/>
    <col min="520" max="520" width="2.5" style="1" customWidth="1"/>
    <col min="521" max="521" width="2.33203125" style="1" customWidth="1"/>
    <col min="522" max="522" width="17.83203125" style="1" customWidth="1"/>
    <col min="523" max="523" width="10.5" style="1" customWidth="1"/>
    <col min="524" max="524" width="9" style="1" customWidth="1"/>
    <col min="525" max="525" width="8" style="1" customWidth="1"/>
    <col min="526" max="526" width="9" style="1" customWidth="1"/>
    <col min="527" max="527" width="8.5" style="1" customWidth="1"/>
    <col min="528" max="528" width="11.5" style="1" customWidth="1"/>
    <col min="529" max="529" width="8.5" style="1" customWidth="1"/>
    <col min="530" max="530" width="8.1640625" style="1" customWidth="1"/>
    <col min="531" max="531" width="7.33203125" style="1" customWidth="1"/>
    <col min="532" max="532" width="7.5" style="1" customWidth="1"/>
    <col min="533" max="533" width="8" style="1" customWidth="1"/>
    <col min="534" max="534" width="9" style="1" customWidth="1"/>
    <col min="535" max="536" width="8" style="1" customWidth="1"/>
    <col min="537" max="537" width="7.33203125" style="1" customWidth="1"/>
    <col min="538" max="538" width="7.5" style="1" customWidth="1"/>
    <col min="539" max="539" width="10.5" style="1" customWidth="1"/>
    <col min="540" max="540" width="9" style="1" customWidth="1"/>
    <col min="541" max="541" width="2.33203125" style="1" customWidth="1"/>
    <col min="542" max="542" width="15.5" style="1" customWidth="1"/>
    <col min="543" max="543" width="8.5" style="1" customWidth="1"/>
    <col min="544" max="544" width="15" style="1" customWidth="1"/>
    <col min="545" max="549" width="8.83203125" style="1"/>
    <col min="550" max="550" width="17.1640625" style="1" customWidth="1"/>
    <col min="551" max="551" width="16" style="1" customWidth="1"/>
    <col min="552" max="552" width="9.6640625" style="1" customWidth="1"/>
    <col min="553" max="775" width="8.83203125" style="1"/>
    <col min="776" max="776" width="2.5" style="1" customWidth="1"/>
    <col min="777" max="777" width="2.33203125" style="1" customWidth="1"/>
    <col min="778" max="778" width="17.83203125" style="1" customWidth="1"/>
    <col min="779" max="779" width="10.5" style="1" customWidth="1"/>
    <col min="780" max="780" width="9" style="1" customWidth="1"/>
    <col min="781" max="781" width="8" style="1" customWidth="1"/>
    <col min="782" max="782" width="9" style="1" customWidth="1"/>
    <col min="783" max="783" width="8.5" style="1" customWidth="1"/>
    <col min="784" max="784" width="11.5" style="1" customWidth="1"/>
    <col min="785" max="785" width="8.5" style="1" customWidth="1"/>
    <col min="786" max="786" width="8.1640625" style="1" customWidth="1"/>
    <col min="787" max="787" width="7.33203125" style="1" customWidth="1"/>
    <col min="788" max="788" width="7.5" style="1" customWidth="1"/>
    <col min="789" max="789" width="8" style="1" customWidth="1"/>
    <col min="790" max="790" width="9" style="1" customWidth="1"/>
    <col min="791" max="792" width="8" style="1" customWidth="1"/>
    <col min="793" max="793" width="7.33203125" style="1" customWidth="1"/>
    <col min="794" max="794" width="7.5" style="1" customWidth="1"/>
    <col min="795" max="795" width="10.5" style="1" customWidth="1"/>
    <col min="796" max="796" width="9" style="1" customWidth="1"/>
    <col min="797" max="797" width="2.33203125" style="1" customWidth="1"/>
    <col min="798" max="798" width="15.5" style="1" customWidth="1"/>
    <col min="799" max="799" width="8.5" style="1" customWidth="1"/>
    <col min="800" max="800" width="15" style="1" customWidth="1"/>
    <col min="801" max="805" width="8.83203125" style="1"/>
    <col min="806" max="806" width="17.1640625" style="1" customWidth="1"/>
    <col min="807" max="807" width="16" style="1" customWidth="1"/>
    <col min="808" max="808" width="9.6640625" style="1" customWidth="1"/>
    <col min="809" max="1031" width="8.83203125" style="1"/>
    <col min="1032" max="1032" width="2.5" style="1" customWidth="1"/>
    <col min="1033" max="1033" width="2.33203125" style="1" customWidth="1"/>
    <col min="1034" max="1034" width="17.83203125" style="1" customWidth="1"/>
    <col min="1035" max="1035" width="10.5" style="1" customWidth="1"/>
    <col min="1036" max="1036" width="9" style="1" customWidth="1"/>
    <col min="1037" max="1037" width="8" style="1" customWidth="1"/>
    <col min="1038" max="1038" width="9" style="1" customWidth="1"/>
    <col min="1039" max="1039" width="8.5" style="1" customWidth="1"/>
    <col min="1040" max="1040" width="11.5" style="1" customWidth="1"/>
    <col min="1041" max="1041" width="8.5" style="1" customWidth="1"/>
    <col min="1042" max="1042" width="8.1640625" style="1" customWidth="1"/>
    <col min="1043" max="1043" width="7.33203125" style="1" customWidth="1"/>
    <col min="1044" max="1044" width="7.5" style="1" customWidth="1"/>
    <col min="1045" max="1045" width="8" style="1" customWidth="1"/>
    <col min="1046" max="1046" width="9" style="1" customWidth="1"/>
    <col min="1047" max="1048" width="8" style="1" customWidth="1"/>
    <col min="1049" max="1049" width="7.33203125" style="1" customWidth="1"/>
    <col min="1050" max="1050" width="7.5" style="1" customWidth="1"/>
    <col min="1051" max="1051" width="10.5" style="1" customWidth="1"/>
    <col min="1052" max="1052" width="9" style="1" customWidth="1"/>
    <col min="1053" max="1053" width="2.33203125" style="1" customWidth="1"/>
    <col min="1054" max="1054" width="15.5" style="1" customWidth="1"/>
    <col min="1055" max="1055" width="8.5" style="1" customWidth="1"/>
    <col min="1056" max="1056" width="15" style="1" customWidth="1"/>
    <col min="1057" max="1061" width="8.83203125" style="1"/>
    <col min="1062" max="1062" width="17.1640625" style="1" customWidth="1"/>
    <col min="1063" max="1063" width="16" style="1" customWidth="1"/>
    <col min="1064" max="1064" width="9.6640625" style="1" customWidth="1"/>
    <col min="1065" max="1287" width="8.83203125" style="1"/>
    <col min="1288" max="1288" width="2.5" style="1" customWidth="1"/>
    <col min="1289" max="1289" width="2.33203125" style="1" customWidth="1"/>
    <col min="1290" max="1290" width="17.83203125" style="1" customWidth="1"/>
    <col min="1291" max="1291" width="10.5" style="1" customWidth="1"/>
    <col min="1292" max="1292" width="9" style="1" customWidth="1"/>
    <col min="1293" max="1293" width="8" style="1" customWidth="1"/>
    <col min="1294" max="1294" width="9" style="1" customWidth="1"/>
    <col min="1295" max="1295" width="8.5" style="1" customWidth="1"/>
    <col min="1296" max="1296" width="11.5" style="1" customWidth="1"/>
    <col min="1297" max="1297" width="8.5" style="1" customWidth="1"/>
    <col min="1298" max="1298" width="8.1640625" style="1" customWidth="1"/>
    <col min="1299" max="1299" width="7.33203125" style="1" customWidth="1"/>
    <col min="1300" max="1300" width="7.5" style="1" customWidth="1"/>
    <col min="1301" max="1301" width="8" style="1" customWidth="1"/>
    <col min="1302" max="1302" width="9" style="1" customWidth="1"/>
    <col min="1303" max="1304" width="8" style="1" customWidth="1"/>
    <col min="1305" max="1305" width="7.33203125" style="1" customWidth="1"/>
    <col min="1306" max="1306" width="7.5" style="1" customWidth="1"/>
    <col min="1307" max="1307" width="10.5" style="1" customWidth="1"/>
    <col min="1308" max="1308" width="9" style="1" customWidth="1"/>
    <col min="1309" max="1309" width="2.33203125" style="1" customWidth="1"/>
    <col min="1310" max="1310" width="15.5" style="1" customWidth="1"/>
    <col min="1311" max="1311" width="8.5" style="1" customWidth="1"/>
    <col min="1312" max="1312" width="15" style="1" customWidth="1"/>
    <col min="1313" max="1317" width="8.83203125" style="1"/>
    <col min="1318" max="1318" width="17.1640625" style="1" customWidth="1"/>
    <col min="1319" max="1319" width="16" style="1" customWidth="1"/>
    <col min="1320" max="1320" width="9.6640625" style="1" customWidth="1"/>
    <col min="1321" max="1543" width="8.83203125" style="1"/>
    <col min="1544" max="1544" width="2.5" style="1" customWidth="1"/>
    <col min="1545" max="1545" width="2.33203125" style="1" customWidth="1"/>
    <col min="1546" max="1546" width="17.83203125" style="1" customWidth="1"/>
    <col min="1547" max="1547" width="10.5" style="1" customWidth="1"/>
    <col min="1548" max="1548" width="9" style="1" customWidth="1"/>
    <col min="1549" max="1549" width="8" style="1" customWidth="1"/>
    <col min="1550" max="1550" width="9" style="1" customWidth="1"/>
    <col min="1551" max="1551" width="8.5" style="1" customWidth="1"/>
    <col min="1552" max="1552" width="11.5" style="1" customWidth="1"/>
    <col min="1553" max="1553" width="8.5" style="1" customWidth="1"/>
    <col min="1554" max="1554" width="8.1640625" style="1" customWidth="1"/>
    <col min="1555" max="1555" width="7.33203125" style="1" customWidth="1"/>
    <col min="1556" max="1556" width="7.5" style="1" customWidth="1"/>
    <col min="1557" max="1557" width="8" style="1" customWidth="1"/>
    <col min="1558" max="1558" width="9" style="1" customWidth="1"/>
    <col min="1559" max="1560" width="8" style="1" customWidth="1"/>
    <col min="1561" max="1561" width="7.33203125" style="1" customWidth="1"/>
    <col min="1562" max="1562" width="7.5" style="1" customWidth="1"/>
    <col min="1563" max="1563" width="10.5" style="1" customWidth="1"/>
    <col min="1564" max="1564" width="9" style="1" customWidth="1"/>
    <col min="1565" max="1565" width="2.33203125" style="1" customWidth="1"/>
    <col min="1566" max="1566" width="15.5" style="1" customWidth="1"/>
    <col min="1567" max="1567" width="8.5" style="1" customWidth="1"/>
    <col min="1568" max="1568" width="15" style="1" customWidth="1"/>
    <col min="1569" max="1573" width="8.83203125" style="1"/>
    <col min="1574" max="1574" width="17.1640625" style="1" customWidth="1"/>
    <col min="1575" max="1575" width="16" style="1" customWidth="1"/>
    <col min="1576" max="1576" width="9.6640625" style="1" customWidth="1"/>
    <col min="1577" max="1799" width="8.83203125" style="1"/>
    <col min="1800" max="1800" width="2.5" style="1" customWidth="1"/>
    <col min="1801" max="1801" width="2.33203125" style="1" customWidth="1"/>
    <col min="1802" max="1802" width="17.83203125" style="1" customWidth="1"/>
    <col min="1803" max="1803" width="10.5" style="1" customWidth="1"/>
    <col min="1804" max="1804" width="9" style="1" customWidth="1"/>
    <col min="1805" max="1805" width="8" style="1" customWidth="1"/>
    <col min="1806" max="1806" width="9" style="1" customWidth="1"/>
    <col min="1807" max="1807" width="8.5" style="1" customWidth="1"/>
    <col min="1808" max="1808" width="11.5" style="1" customWidth="1"/>
    <col min="1809" max="1809" width="8.5" style="1" customWidth="1"/>
    <col min="1810" max="1810" width="8.1640625" style="1" customWidth="1"/>
    <col min="1811" max="1811" width="7.33203125" style="1" customWidth="1"/>
    <col min="1812" max="1812" width="7.5" style="1" customWidth="1"/>
    <col min="1813" max="1813" width="8" style="1" customWidth="1"/>
    <col min="1814" max="1814" width="9" style="1" customWidth="1"/>
    <col min="1815" max="1816" width="8" style="1" customWidth="1"/>
    <col min="1817" max="1817" width="7.33203125" style="1" customWidth="1"/>
    <col min="1818" max="1818" width="7.5" style="1" customWidth="1"/>
    <col min="1819" max="1819" width="10.5" style="1" customWidth="1"/>
    <col min="1820" max="1820" width="9" style="1" customWidth="1"/>
    <col min="1821" max="1821" width="2.33203125" style="1" customWidth="1"/>
    <col min="1822" max="1822" width="15.5" style="1" customWidth="1"/>
    <col min="1823" max="1823" width="8.5" style="1" customWidth="1"/>
    <col min="1824" max="1824" width="15" style="1" customWidth="1"/>
    <col min="1825" max="1829" width="8.83203125" style="1"/>
    <col min="1830" max="1830" width="17.1640625" style="1" customWidth="1"/>
    <col min="1831" max="1831" width="16" style="1" customWidth="1"/>
    <col min="1832" max="1832" width="9.6640625" style="1" customWidth="1"/>
    <col min="1833" max="2055" width="8.83203125" style="1"/>
    <col min="2056" max="2056" width="2.5" style="1" customWidth="1"/>
    <col min="2057" max="2057" width="2.33203125" style="1" customWidth="1"/>
    <col min="2058" max="2058" width="17.83203125" style="1" customWidth="1"/>
    <col min="2059" max="2059" width="10.5" style="1" customWidth="1"/>
    <col min="2060" max="2060" width="9" style="1" customWidth="1"/>
    <col min="2061" max="2061" width="8" style="1" customWidth="1"/>
    <col min="2062" max="2062" width="9" style="1" customWidth="1"/>
    <col min="2063" max="2063" width="8.5" style="1" customWidth="1"/>
    <col min="2064" max="2064" width="11.5" style="1" customWidth="1"/>
    <col min="2065" max="2065" width="8.5" style="1" customWidth="1"/>
    <col min="2066" max="2066" width="8.1640625" style="1" customWidth="1"/>
    <col min="2067" max="2067" width="7.33203125" style="1" customWidth="1"/>
    <col min="2068" max="2068" width="7.5" style="1" customWidth="1"/>
    <col min="2069" max="2069" width="8" style="1" customWidth="1"/>
    <col min="2070" max="2070" width="9" style="1" customWidth="1"/>
    <col min="2071" max="2072" width="8" style="1" customWidth="1"/>
    <col min="2073" max="2073" width="7.33203125" style="1" customWidth="1"/>
    <col min="2074" max="2074" width="7.5" style="1" customWidth="1"/>
    <col min="2075" max="2075" width="10.5" style="1" customWidth="1"/>
    <col min="2076" max="2076" width="9" style="1" customWidth="1"/>
    <col min="2077" max="2077" width="2.33203125" style="1" customWidth="1"/>
    <col min="2078" max="2078" width="15.5" style="1" customWidth="1"/>
    <col min="2079" max="2079" width="8.5" style="1" customWidth="1"/>
    <col min="2080" max="2080" width="15" style="1" customWidth="1"/>
    <col min="2081" max="2085" width="8.83203125" style="1"/>
    <col min="2086" max="2086" width="17.1640625" style="1" customWidth="1"/>
    <col min="2087" max="2087" width="16" style="1" customWidth="1"/>
    <col min="2088" max="2088" width="9.6640625" style="1" customWidth="1"/>
    <col min="2089" max="2311" width="8.83203125" style="1"/>
    <col min="2312" max="2312" width="2.5" style="1" customWidth="1"/>
    <col min="2313" max="2313" width="2.33203125" style="1" customWidth="1"/>
    <col min="2314" max="2314" width="17.83203125" style="1" customWidth="1"/>
    <col min="2315" max="2315" width="10.5" style="1" customWidth="1"/>
    <col min="2316" max="2316" width="9" style="1" customWidth="1"/>
    <col min="2317" max="2317" width="8" style="1" customWidth="1"/>
    <col min="2318" max="2318" width="9" style="1" customWidth="1"/>
    <col min="2319" max="2319" width="8.5" style="1" customWidth="1"/>
    <col min="2320" max="2320" width="11.5" style="1" customWidth="1"/>
    <col min="2321" max="2321" width="8.5" style="1" customWidth="1"/>
    <col min="2322" max="2322" width="8.1640625" style="1" customWidth="1"/>
    <col min="2323" max="2323" width="7.33203125" style="1" customWidth="1"/>
    <col min="2324" max="2324" width="7.5" style="1" customWidth="1"/>
    <col min="2325" max="2325" width="8" style="1" customWidth="1"/>
    <col min="2326" max="2326" width="9" style="1" customWidth="1"/>
    <col min="2327" max="2328" width="8" style="1" customWidth="1"/>
    <col min="2329" max="2329" width="7.33203125" style="1" customWidth="1"/>
    <col min="2330" max="2330" width="7.5" style="1" customWidth="1"/>
    <col min="2331" max="2331" width="10.5" style="1" customWidth="1"/>
    <col min="2332" max="2332" width="9" style="1" customWidth="1"/>
    <col min="2333" max="2333" width="2.33203125" style="1" customWidth="1"/>
    <col min="2334" max="2334" width="15.5" style="1" customWidth="1"/>
    <col min="2335" max="2335" width="8.5" style="1" customWidth="1"/>
    <col min="2336" max="2336" width="15" style="1" customWidth="1"/>
    <col min="2337" max="2341" width="8.83203125" style="1"/>
    <col min="2342" max="2342" width="17.1640625" style="1" customWidth="1"/>
    <col min="2343" max="2343" width="16" style="1" customWidth="1"/>
    <col min="2344" max="2344" width="9.6640625" style="1" customWidth="1"/>
    <col min="2345" max="2567" width="8.83203125" style="1"/>
    <col min="2568" max="2568" width="2.5" style="1" customWidth="1"/>
    <col min="2569" max="2569" width="2.33203125" style="1" customWidth="1"/>
    <col min="2570" max="2570" width="17.83203125" style="1" customWidth="1"/>
    <col min="2571" max="2571" width="10.5" style="1" customWidth="1"/>
    <col min="2572" max="2572" width="9" style="1" customWidth="1"/>
    <col min="2573" max="2573" width="8" style="1" customWidth="1"/>
    <col min="2574" max="2574" width="9" style="1" customWidth="1"/>
    <col min="2575" max="2575" width="8.5" style="1" customWidth="1"/>
    <col min="2576" max="2576" width="11.5" style="1" customWidth="1"/>
    <col min="2577" max="2577" width="8.5" style="1" customWidth="1"/>
    <col min="2578" max="2578" width="8.1640625" style="1" customWidth="1"/>
    <col min="2579" max="2579" width="7.33203125" style="1" customWidth="1"/>
    <col min="2580" max="2580" width="7.5" style="1" customWidth="1"/>
    <col min="2581" max="2581" width="8" style="1" customWidth="1"/>
    <col min="2582" max="2582" width="9" style="1" customWidth="1"/>
    <col min="2583" max="2584" width="8" style="1" customWidth="1"/>
    <col min="2585" max="2585" width="7.33203125" style="1" customWidth="1"/>
    <col min="2586" max="2586" width="7.5" style="1" customWidth="1"/>
    <col min="2587" max="2587" width="10.5" style="1" customWidth="1"/>
    <col min="2588" max="2588" width="9" style="1" customWidth="1"/>
    <col min="2589" max="2589" width="2.33203125" style="1" customWidth="1"/>
    <col min="2590" max="2590" width="15.5" style="1" customWidth="1"/>
    <col min="2591" max="2591" width="8.5" style="1" customWidth="1"/>
    <col min="2592" max="2592" width="15" style="1" customWidth="1"/>
    <col min="2593" max="2597" width="8.83203125" style="1"/>
    <col min="2598" max="2598" width="17.1640625" style="1" customWidth="1"/>
    <col min="2599" max="2599" width="16" style="1" customWidth="1"/>
    <col min="2600" max="2600" width="9.6640625" style="1" customWidth="1"/>
    <col min="2601" max="2823" width="8.83203125" style="1"/>
    <col min="2824" max="2824" width="2.5" style="1" customWidth="1"/>
    <col min="2825" max="2825" width="2.33203125" style="1" customWidth="1"/>
    <col min="2826" max="2826" width="17.83203125" style="1" customWidth="1"/>
    <col min="2827" max="2827" width="10.5" style="1" customWidth="1"/>
    <col min="2828" max="2828" width="9" style="1" customWidth="1"/>
    <col min="2829" max="2829" width="8" style="1" customWidth="1"/>
    <col min="2830" max="2830" width="9" style="1" customWidth="1"/>
    <col min="2831" max="2831" width="8.5" style="1" customWidth="1"/>
    <col min="2832" max="2832" width="11.5" style="1" customWidth="1"/>
    <col min="2833" max="2833" width="8.5" style="1" customWidth="1"/>
    <col min="2834" max="2834" width="8.1640625" style="1" customWidth="1"/>
    <col min="2835" max="2835" width="7.33203125" style="1" customWidth="1"/>
    <col min="2836" max="2836" width="7.5" style="1" customWidth="1"/>
    <col min="2837" max="2837" width="8" style="1" customWidth="1"/>
    <col min="2838" max="2838" width="9" style="1" customWidth="1"/>
    <col min="2839" max="2840" width="8" style="1" customWidth="1"/>
    <col min="2841" max="2841" width="7.33203125" style="1" customWidth="1"/>
    <col min="2842" max="2842" width="7.5" style="1" customWidth="1"/>
    <col min="2843" max="2843" width="10.5" style="1" customWidth="1"/>
    <col min="2844" max="2844" width="9" style="1" customWidth="1"/>
    <col min="2845" max="2845" width="2.33203125" style="1" customWidth="1"/>
    <col min="2846" max="2846" width="15.5" style="1" customWidth="1"/>
    <col min="2847" max="2847" width="8.5" style="1" customWidth="1"/>
    <col min="2848" max="2848" width="15" style="1" customWidth="1"/>
    <col min="2849" max="2853" width="8.83203125" style="1"/>
    <col min="2854" max="2854" width="17.1640625" style="1" customWidth="1"/>
    <col min="2855" max="2855" width="16" style="1" customWidth="1"/>
    <col min="2856" max="2856" width="9.6640625" style="1" customWidth="1"/>
    <col min="2857" max="3079" width="8.83203125" style="1"/>
    <col min="3080" max="3080" width="2.5" style="1" customWidth="1"/>
    <col min="3081" max="3081" width="2.33203125" style="1" customWidth="1"/>
    <col min="3082" max="3082" width="17.83203125" style="1" customWidth="1"/>
    <col min="3083" max="3083" width="10.5" style="1" customWidth="1"/>
    <col min="3084" max="3084" width="9" style="1" customWidth="1"/>
    <col min="3085" max="3085" width="8" style="1" customWidth="1"/>
    <col min="3086" max="3086" width="9" style="1" customWidth="1"/>
    <col min="3087" max="3087" width="8.5" style="1" customWidth="1"/>
    <col min="3088" max="3088" width="11.5" style="1" customWidth="1"/>
    <col min="3089" max="3089" width="8.5" style="1" customWidth="1"/>
    <col min="3090" max="3090" width="8.1640625" style="1" customWidth="1"/>
    <col min="3091" max="3091" width="7.33203125" style="1" customWidth="1"/>
    <col min="3092" max="3092" width="7.5" style="1" customWidth="1"/>
    <col min="3093" max="3093" width="8" style="1" customWidth="1"/>
    <col min="3094" max="3094" width="9" style="1" customWidth="1"/>
    <col min="3095" max="3096" width="8" style="1" customWidth="1"/>
    <col min="3097" max="3097" width="7.33203125" style="1" customWidth="1"/>
    <col min="3098" max="3098" width="7.5" style="1" customWidth="1"/>
    <col min="3099" max="3099" width="10.5" style="1" customWidth="1"/>
    <col min="3100" max="3100" width="9" style="1" customWidth="1"/>
    <col min="3101" max="3101" width="2.33203125" style="1" customWidth="1"/>
    <col min="3102" max="3102" width="15.5" style="1" customWidth="1"/>
    <col min="3103" max="3103" width="8.5" style="1" customWidth="1"/>
    <col min="3104" max="3104" width="15" style="1" customWidth="1"/>
    <col min="3105" max="3109" width="8.83203125" style="1"/>
    <col min="3110" max="3110" width="17.1640625" style="1" customWidth="1"/>
    <col min="3111" max="3111" width="16" style="1" customWidth="1"/>
    <col min="3112" max="3112" width="9.6640625" style="1" customWidth="1"/>
    <col min="3113" max="3335" width="8.83203125" style="1"/>
    <col min="3336" max="3336" width="2.5" style="1" customWidth="1"/>
    <col min="3337" max="3337" width="2.33203125" style="1" customWidth="1"/>
    <col min="3338" max="3338" width="17.83203125" style="1" customWidth="1"/>
    <col min="3339" max="3339" width="10.5" style="1" customWidth="1"/>
    <col min="3340" max="3340" width="9" style="1" customWidth="1"/>
    <col min="3341" max="3341" width="8" style="1" customWidth="1"/>
    <col min="3342" max="3342" width="9" style="1" customWidth="1"/>
    <col min="3343" max="3343" width="8.5" style="1" customWidth="1"/>
    <col min="3344" max="3344" width="11.5" style="1" customWidth="1"/>
    <col min="3345" max="3345" width="8.5" style="1" customWidth="1"/>
    <col min="3346" max="3346" width="8.1640625" style="1" customWidth="1"/>
    <col min="3347" max="3347" width="7.33203125" style="1" customWidth="1"/>
    <col min="3348" max="3348" width="7.5" style="1" customWidth="1"/>
    <col min="3349" max="3349" width="8" style="1" customWidth="1"/>
    <col min="3350" max="3350" width="9" style="1" customWidth="1"/>
    <col min="3351" max="3352" width="8" style="1" customWidth="1"/>
    <col min="3353" max="3353" width="7.33203125" style="1" customWidth="1"/>
    <col min="3354" max="3354" width="7.5" style="1" customWidth="1"/>
    <col min="3355" max="3355" width="10.5" style="1" customWidth="1"/>
    <col min="3356" max="3356" width="9" style="1" customWidth="1"/>
    <col min="3357" max="3357" width="2.33203125" style="1" customWidth="1"/>
    <col min="3358" max="3358" width="15.5" style="1" customWidth="1"/>
    <col min="3359" max="3359" width="8.5" style="1" customWidth="1"/>
    <col min="3360" max="3360" width="15" style="1" customWidth="1"/>
    <col min="3361" max="3365" width="8.83203125" style="1"/>
    <col min="3366" max="3366" width="17.1640625" style="1" customWidth="1"/>
    <col min="3367" max="3367" width="16" style="1" customWidth="1"/>
    <col min="3368" max="3368" width="9.6640625" style="1" customWidth="1"/>
    <col min="3369" max="3591" width="8.83203125" style="1"/>
    <col min="3592" max="3592" width="2.5" style="1" customWidth="1"/>
    <col min="3593" max="3593" width="2.33203125" style="1" customWidth="1"/>
    <col min="3594" max="3594" width="17.83203125" style="1" customWidth="1"/>
    <col min="3595" max="3595" width="10.5" style="1" customWidth="1"/>
    <col min="3596" max="3596" width="9" style="1" customWidth="1"/>
    <col min="3597" max="3597" width="8" style="1" customWidth="1"/>
    <col min="3598" max="3598" width="9" style="1" customWidth="1"/>
    <col min="3599" max="3599" width="8.5" style="1" customWidth="1"/>
    <col min="3600" max="3600" width="11.5" style="1" customWidth="1"/>
    <col min="3601" max="3601" width="8.5" style="1" customWidth="1"/>
    <col min="3602" max="3602" width="8.1640625" style="1" customWidth="1"/>
    <col min="3603" max="3603" width="7.33203125" style="1" customWidth="1"/>
    <col min="3604" max="3604" width="7.5" style="1" customWidth="1"/>
    <col min="3605" max="3605" width="8" style="1" customWidth="1"/>
    <col min="3606" max="3606" width="9" style="1" customWidth="1"/>
    <col min="3607" max="3608" width="8" style="1" customWidth="1"/>
    <col min="3609" max="3609" width="7.33203125" style="1" customWidth="1"/>
    <col min="3610" max="3610" width="7.5" style="1" customWidth="1"/>
    <col min="3611" max="3611" width="10.5" style="1" customWidth="1"/>
    <col min="3612" max="3612" width="9" style="1" customWidth="1"/>
    <col min="3613" max="3613" width="2.33203125" style="1" customWidth="1"/>
    <col min="3614" max="3614" width="15.5" style="1" customWidth="1"/>
    <col min="3615" max="3615" width="8.5" style="1" customWidth="1"/>
    <col min="3616" max="3616" width="15" style="1" customWidth="1"/>
    <col min="3617" max="3621" width="8.83203125" style="1"/>
    <col min="3622" max="3622" width="17.1640625" style="1" customWidth="1"/>
    <col min="3623" max="3623" width="16" style="1" customWidth="1"/>
    <col min="3624" max="3624" width="9.6640625" style="1" customWidth="1"/>
    <col min="3625" max="3847" width="8.83203125" style="1"/>
    <col min="3848" max="3848" width="2.5" style="1" customWidth="1"/>
    <col min="3849" max="3849" width="2.33203125" style="1" customWidth="1"/>
    <col min="3850" max="3850" width="17.83203125" style="1" customWidth="1"/>
    <col min="3851" max="3851" width="10.5" style="1" customWidth="1"/>
    <col min="3852" max="3852" width="9" style="1" customWidth="1"/>
    <col min="3853" max="3853" width="8" style="1" customWidth="1"/>
    <col min="3854" max="3854" width="9" style="1" customWidth="1"/>
    <col min="3855" max="3855" width="8.5" style="1" customWidth="1"/>
    <col min="3856" max="3856" width="11.5" style="1" customWidth="1"/>
    <col min="3857" max="3857" width="8.5" style="1" customWidth="1"/>
    <col min="3858" max="3858" width="8.1640625" style="1" customWidth="1"/>
    <col min="3859" max="3859" width="7.33203125" style="1" customWidth="1"/>
    <col min="3860" max="3860" width="7.5" style="1" customWidth="1"/>
    <col min="3861" max="3861" width="8" style="1" customWidth="1"/>
    <col min="3862" max="3862" width="9" style="1" customWidth="1"/>
    <col min="3863" max="3864" width="8" style="1" customWidth="1"/>
    <col min="3865" max="3865" width="7.33203125" style="1" customWidth="1"/>
    <col min="3866" max="3866" width="7.5" style="1" customWidth="1"/>
    <col min="3867" max="3867" width="10.5" style="1" customWidth="1"/>
    <col min="3868" max="3868" width="9" style="1" customWidth="1"/>
    <col min="3869" max="3869" width="2.33203125" style="1" customWidth="1"/>
    <col min="3870" max="3870" width="15.5" style="1" customWidth="1"/>
    <col min="3871" max="3871" width="8.5" style="1" customWidth="1"/>
    <col min="3872" max="3872" width="15" style="1" customWidth="1"/>
    <col min="3873" max="3877" width="8.83203125" style="1"/>
    <col min="3878" max="3878" width="17.1640625" style="1" customWidth="1"/>
    <col min="3879" max="3879" width="16" style="1" customWidth="1"/>
    <col min="3880" max="3880" width="9.6640625" style="1" customWidth="1"/>
    <col min="3881" max="4103" width="8.83203125" style="1"/>
    <col min="4104" max="4104" width="2.5" style="1" customWidth="1"/>
    <col min="4105" max="4105" width="2.33203125" style="1" customWidth="1"/>
    <col min="4106" max="4106" width="17.83203125" style="1" customWidth="1"/>
    <col min="4107" max="4107" width="10.5" style="1" customWidth="1"/>
    <col min="4108" max="4108" width="9" style="1" customWidth="1"/>
    <col min="4109" max="4109" width="8" style="1" customWidth="1"/>
    <col min="4110" max="4110" width="9" style="1" customWidth="1"/>
    <col min="4111" max="4111" width="8.5" style="1" customWidth="1"/>
    <col min="4112" max="4112" width="11.5" style="1" customWidth="1"/>
    <col min="4113" max="4113" width="8.5" style="1" customWidth="1"/>
    <col min="4114" max="4114" width="8.1640625" style="1" customWidth="1"/>
    <col min="4115" max="4115" width="7.33203125" style="1" customWidth="1"/>
    <col min="4116" max="4116" width="7.5" style="1" customWidth="1"/>
    <col min="4117" max="4117" width="8" style="1" customWidth="1"/>
    <col min="4118" max="4118" width="9" style="1" customWidth="1"/>
    <col min="4119" max="4120" width="8" style="1" customWidth="1"/>
    <col min="4121" max="4121" width="7.33203125" style="1" customWidth="1"/>
    <col min="4122" max="4122" width="7.5" style="1" customWidth="1"/>
    <col min="4123" max="4123" width="10.5" style="1" customWidth="1"/>
    <col min="4124" max="4124" width="9" style="1" customWidth="1"/>
    <col min="4125" max="4125" width="2.33203125" style="1" customWidth="1"/>
    <col min="4126" max="4126" width="15.5" style="1" customWidth="1"/>
    <col min="4127" max="4127" width="8.5" style="1" customWidth="1"/>
    <col min="4128" max="4128" width="15" style="1" customWidth="1"/>
    <col min="4129" max="4133" width="8.83203125" style="1"/>
    <col min="4134" max="4134" width="17.1640625" style="1" customWidth="1"/>
    <col min="4135" max="4135" width="16" style="1" customWidth="1"/>
    <col min="4136" max="4136" width="9.6640625" style="1" customWidth="1"/>
    <col min="4137" max="4359" width="8.83203125" style="1"/>
    <col min="4360" max="4360" width="2.5" style="1" customWidth="1"/>
    <col min="4361" max="4361" width="2.33203125" style="1" customWidth="1"/>
    <col min="4362" max="4362" width="17.83203125" style="1" customWidth="1"/>
    <col min="4363" max="4363" width="10.5" style="1" customWidth="1"/>
    <col min="4364" max="4364" width="9" style="1" customWidth="1"/>
    <col min="4365" max="4365" width="8" style="1" customWidth="1"/>
    <col min="4366" max="4366" width="9" style="1" customWidth="1"/>
    <col min="4367" max="4367" width="8.5" style="1" customWidth="1"/>
    <col min="4368" max="4368" width="11.5" style="1" customWidth="1"/>
    <col min="4369" max="4369" width="8.5" style="1" customWidth="1"/>
    <col min="4370" max="4370" width="8.1640625" style="1" customWidth="1"/>
    <col min="4371" max="4371" width="7.33203125" style="1" customWidth="1"/>
    <col min="4372" max="4372" width="7.5" style="1" customWidth="1"/>
    <col min="4373" max="4373" width="8" style="1" customWidth="1"/>
    <col min="4374" max="4374" width="9" style="1" customWidth="1"/>
    <col min="4375" max="4376" width="8" style="1" customWidth="1"/>
    <col min="4377" max="4377" width="7.33203125" style="1" customWidth="1"/>
    <col min="4378" max="4378" width="7.5" style="1" customWidth="1"/>
    <col min="4379" max="4379" width="10.5" style="1" customWidth="1"/>
    <col min="4380" max="4380" width="9" style="1" customWidth="1"/>
    <col min="4381" max="4381" width="2.33203125" style="1" customWidth="1"/>
    <col min="4382" max="4382" width="15.5" style="1" customWidth="1"/>
    <col min="4383" max="4383" width="8.5" style="1" customWidth="1"/>
    <col min="4384" max="4384" width="15" style="1" customWidth="1"/>
    <col min="4385" max="4389" width="8.83203125" style="1"/>
    <col min="4390" max="4390" width="17.1640625" style="1" customWidth="1"/>
    <col min="4391" max="4391" width="16" style="1" customWidth="1"/>
    <col min="4392" max="4392" width="9.6640625" style="1" customWidth="1"/>
    <col min="4393" max="4615" width="8.83203125" style="1"/>
    <col min="4616" max="4616" width="2.5" style="1" customWidth="1"/>
    <col min="4617" max="4617" width="2.33203125" style="1" customWidth="1"/>
    <col min="4618" max="4618" width="17.83203125" style="1" customWidth="1"/>
    <col min="4619" max="4619" width="10.5" style="1" customWidth="1"/>
    <col min="4620" max="4620" width="9" style="1" customWidth="1"/>
    <col min="4621" max="4621" width="8" style="1" customWidth="1"/>
    <col min="4622" max="4622" width="9" style="1" customWidth="1"/>
    <col min="4623" max="4623" width="8.5" style="1" customWidth="1"/>
    <col min="4624" max="4624" width="11.5" style="1" customWidth="1"/>
    <col min="4625" max="4625" width="8.5" style="1" customWidth="1"/>
    <col min="4626" max="4626" width="8.1640625" style="1" customWidth="1"/>
    <col min="4627" max="4627" width="7.33203125" style="1" customWidth="1"/>
    <col min="4628" max="4628" width="7.5" style="1" customWidth="1"/>
    <col min="4629" max="4629" width="8" style="1" customWidth="1"/>
    <col min="4630" max="4630" width="9" style="1" customWidth="1"/>
    <col min="4631" max="4632" width="8" style="1" customWidth="1"/>
    <col min="4633" max="4633" width="7.33203125" style="1" customWidth="1"/>
    <col min="4634" max="4634" width="7.5" style="1" customWidth="1"/>
    <col min="4635" max="4635" width="10.5" style="1" customWidth="1"/>
    <col min="4636" max="4636" width="9" style="1" customWidth="1"/>
    <col min="4637" max="4637" width="2.33203125" style="1" customWidth="1"/>
    <col min="4638" max="4638" width="15.5" style="1" customWidth="1"/>
    <col min="4639" max="4639" width="8.5" style="1" customWidth="1"/>
    <col min="4640" max="4640" width="15" style="1" customWidth="1"/>
    <col min="4641" max="4645" width="8.83203125" style="1"/>
    <col min="4646" max="4646" width="17.1640625" style="1" customWidth="1"/>
    <col min="4647" max="4647" width="16" style="1" customWidth="1"/>
    <col min="4648" max="4648" width="9.6640625" style="1" customWidth="1"/>
    <col min="4649" max="4871" width="8.83203125" style="1"/>
    <col min="4872" max="4872" width="2.5" style="1" customWidth="1"/>
    <col min="4873" max="4873" width="2.33203125" style="1" customWidth="1"/>
    <col min="4874" max="4874" width="17.83203125" style="1" customWidth="1"/>
    <col min="4875" max="4875" width="10.5" style="1" customWidth="1"/>
    <col min="4876" max="4876" width="9" style="1" customWidth="1"/>
    <col min="4877" max="4877" width="8" style="1" customWidth="1"/>
    <col min="4878" max="4878" width="9" style="1" customWidth="1"/>
    <col min="4879" max="4879" width="8.5" style="1" customWidth="1"/>
    <col min="4880" max="4880" width="11.5" style="1" customWidth="1"/>
    <col min="4881" max="4881" width="8.5" style="1" customWidth="1"/>
    <col min="4882" max="4882" width="8.1640625" style="1" customWidth="1"/>
    <col min="4883" max="4883" width="7.33203125" style="1" customWidth="1"/>
    <col min="4884" max="4884" width="7.5" style="1" customWidth="1"/>
    <col min="4885" max="4885" width="8" style="1" customWidth="1"/>
    <col min="4886" max="4886" width="9" style="1" customWidth="1"/>
    <col min="4887" max="4888" width="8" style="1" customWidth="1"/>
    <col min="4889" max="4889" width="7.33203125" style="1" customWidth="1"/>
    <col min="4890" max="4890" width="7.5" style="1" customWidth="1"/>
    <col min="4891" max="4891" width="10.5" style="1" customWidth="1"/>
    <col min="4892" max="4892" width="9" style="1" customWidth="1"/>
    <col min="4893" max="4893" width="2.33203125" style="1" customWidth="1"/>
    <col min="4894" max="4894" width="15.5" style="1" customWidth="1"/>
    <col min="4895" max="4895" width="8.5" style="1" customWidth="1"/>
    <col min="4896" max="4896" width="15" style="1" customWidth="1"/>
    <col min="4897" max="4901" width="8.83203125" style="1"/>
    <col min="4902" max="4902" width="17.1640625" style="1" customWidth="1"/>
    <col min="4903" max="4903" width="16" style="1" customWidth="1"/>
    <col min="4904" max="4904" width="9.6640625" style="1" customWidth="1"/>
    <col min="4905" max="5127" width="8.83203125" style="1"/>
    <col min="5128" max="5128" width="2.5" style="1" customWidth="1"/>
    <col min="5129" max="5129" width="2.33203125" style="1" customWidth="1"/>
    <col min="5130" max="5130" width="17.83203125" style="1" customWidth="1"/>
    <col min="5131" max="5131" width="10.5" style="1" customWidth="1"/>
    <col min="5132" max="5132" width="9" style="1" customWidth="1"/>
    <col min="5133" max="5133" width="8" style="1" customWidth="1"/>
    <col min="5134" max="5134" width="9" style="1" customWidth="1"/>
    <col min="5135" max="5135" width="8.5" style="1" customWidth="1"/>
    <col min="5136" max="5136" width="11.5" style="1" customWidth="1"/>
    <col min="5137" max="5137" width="8.5" style="1" customWidth="1"/>
    <col min="5138" max="5138" width="8.1640625" style="1" customWidth="1"/>
    <col min="5139" max="5139" width="7.33203125" style="1" customWidth="1"/>
    <col min="5140" max="5140" width="7.5" style="1" customWidth="1"/>
    <col min="5141" max="5141" width="8" style="1" customWidth="1"/>
    <col min="5142" max="5142" width="9" style="1" customWidth="1"/>
    <col min="5143" max="5144" width="8" style="1" customWidth="1"/>
    <col min="5145" max="5145" width="7.33203125" style="1" customWidth="1"/>
    <col min="5146" max="5146" width="7.5" style="1" customWidth="1"/>
    <col min="5147" max="5147" width="10.5" style="1" customWidth="1"/>
    <col min="5148" max="5148" width="9" style="1" customWidth="1"/>
    <col min="5149" max="5149" width="2.33203125" style="1" customWidth="1"/>
    <col min="5150" max="5150" width="15.5" style="1" customWidth="1"/>
    <col min="5151" max="5151" width="8.5" style="1" customWidth="1"/>
    <col min="5152" max="5152" width="15" style="1" customWidth="1"/>
    <col min="5153" max="5157" width="8.83203125" style="1"/>
    <col min="5158" max="5158" width="17.1640625" style="1" customWidth="1"/>
    <col min="5159" max="5159" width="16" style="1" customWidth="1"/>
    <col min="5160" max="5160" width="9.6640625" style="1" customWidth="1"/>
    <col min="5161" max="5383" width="8.83203125" style="1"/>
    <col min="5384" max="5384" width="2.5" style="1" customWidth="1"/>
    <col min="5385" max="5385" width="2.33203125" style="1" customWidth="1"/>
    <col min="5386" max="5386" width="17.83203125" style="1" customWidth="1"/>
    <col min="5387" max="5387" width="10.5" style="1" customWidth="1"/>
    <col min="5388" max="5388" width="9" style="1" customWidth="1"/>
    <col min="5389" max="5389" width="8" style="1" customWidth="1"/>
    <col min="5390" max="5390" width="9" style="1" customWidth="1"/>
    <col min="5391" max="5391" width="8.5" style="1" customWidth="1"/>
    <col min="5392" max="5392" width="11.5" style="1" customWidth="1"/>
    <col min="5393" max="5393" width="8.5" style="1" customWidth="1"/>
    <col min="5394" max="5394" width="8.1640625" style="1" customWidth="1"/>
    <col min="5395" max="5395" width="7.33203125" style="1" customWidth="1"/>
    <col min="5396" max="5396" width="7.5" style="1" customWidth="1"/>
    <col min="5397" max="5397" width="8" style="1" customWidth="1"/>
    <col min="5398" max="5398" width="9" style="1" customWidth="1"/>
    <col min="5399" max="5400" width="8" style="1" customWidth="1"/>
    <col min="5401" max="5401" width="7.33203125" style="1" customWidth="1"/>
    <col min="5402" max="5402" width="7.5" style="1" customWidth="1"/>
    <col min="5403" max="5403" width="10.5" style="1" customWidth="1"/>
    <col min="5404" max="5404" width="9" style="1" customWidth="1"/>
    <col min="5405" max="5405" width="2.33203125" style="1" customWidth="1"/>
    <col min="5406" max="5406" width="15.5" style="1" customWidth="1"/>
    <col min="5407" max="5407" width="8.5" style="1" customWidth="1"/>
    <col min="5408" max="5408" width="15" style="1" customWidth="1"/>
    <col min="5409" max="5413" width="8.83203125" style="1"/>
    <col min="5414" max="5414" width="17.1640625" style="1" customWidth="1"/>
    <col min="5415" max="5415" width="16" style="1" customWidth="1"/>
    <col min="5416" max="5416" width="9.6640625" style="1" customWidth="1"/>
    <col min="5417" max="5639" width="8.83203125" style="1"/>
    <col min="5640" max="5640" width="2.5" style="1" customWidth="1"/>
    <col min="5641" max="5641" width="2.33203125" style="1" customWidth="1"/>
    <col min="5642" max="5642" width="17.83203125" style="1" customWidth="1"/>
    <col min="5643" max="5643" width="10.5" style="1" customWidth="1"/>
    <col min="5644" max="5644" width="9" style="1" customWidth="1"/>
    <col min="5645" max="5645" width="8" style="1" customWidth="1"/>
    <col min="5646" max="5646" width="9" style="1" customWidth="1"/>
    <col min="5647" max="5647" width="8.5" style="1" customWidth="1"/>
    <col min="5648" max="5648" width="11.5" style="1" customWidth="1"/>
    <col min="5649" max="5649" width="8.5" style="1" customWidth="1"/>
    <col min="5650" max="5650" width="8.1640625" style="1" customWidth="1"/>
    <col min="5651" max="5651" width="7.33203125" style="1" customWidth="1"/>
    <col min="5652" max="5652" width="7.5" style="1" customWidth="1"/>
    <col min="5653" max="5653" width="8" style="1" customWidth="1"/>
    <col min="5654" max="5654" width="9" style="1" customWidth="1"/>
    <col min="5655" max="5656" width="8" style="1" customWidth="1"/>
    <col min="5657" max="5657" width="7.33203125" style="1" customWidth="1"/>
    <col min="5658" max="5658" width="7.5" style="1" customWidth="1"/>
    <col min="5659" max="5659" width="10.5" style="1" customWidth="1"/>
    <col min="5660" max="5660" width="9" style="1" customWidth="1"/>
    <col min="5661" max="5661" width="2.33203125" style="1" customWidth="1"/>
    <col min="5662" max="5662" width="15.5" style="1" customWidth="1"/>
    <col min="5663" max="5663" width="8.5" style="1" customWidth="1"/>
    <col min="5664" max="5664" width="15" style="1" customWidth="1"/>
    <col min="5665" max="5669" width="8.83203125" style="1"/>
    <col min="5670" max="5670" width="17.1640625" style="1" customWidth="1"/>
    <col min="5671" max="5671" width="16" style="1" customWidth="1"/>
    <col min="5672" max="5672" width="9.6640625" style="1" customWidth="1"/>
    <col min="5673" max="5895" width="8.83203125" style="1"/>
    <col min="5896" max="5896" width="2.5" style="1" customWidth="1"/>
    <col min="5897" max="5897" width="2.33203125" style="1" customWidth="1"/>
    <col min="5898" max="5898" width="17.83203125" style="1" customWidth="1"/>
    <col min="5899" max="5899" width="10.5" style="1" customWidth="1"/>
    <col min="5900" max="5900" width="9" style="1" customWidth="1"/>
    <col min="5901" max="5901" width="8" style="1" customWidth="1"/>
    <col min="5902" max="5902" width="9" style="1" customWidth="1"/>
    <col min="5903" max="5903" width="8.5" style="1" customWidth="1"/>
    <col min="5904" max="5904" width="11.5" style="1" customWidth="1"/>
    <col min="5905" max="5905" width="8.5" style="1" customWidth="1"/>
    <col min="5906" max="5906" width="8.1640625" style="1" customWidth="1"/>
    <col min="5907" max="5907" width="7.33203125" style="1" customWidth="1"/>
    <col min="5908" max="5908" width="7.5" style="1" customWidth="1"/>
    <col min="5909" max="5909" width="8" style="1" customWidth="1"/>
    <col min="5910" max="5910" width="9" style="1" customWidth="1"/>
    <col min="5911" max="5912" width="8" style="1" customWidth="1"/>
    <col min="5913" max="5913" width="7.33203125" style="1" customWidth="1"/>
    <col min="5914" max="5914" width="7.5" style="1" customWidth="1"/>
    <col min="5915" max="5915" width="10.5" style="1" customWidth="1"/>
    <col min="5916" max="5916" width="9" style="1" customWidth="1"/>
    <col min="5917" max="5917" width="2.33203125" style="1" customWidth="1"/>
    <col min="5918" max="5918" width="15.5" style="1" customWidth="1"/>
    <col min="5919" max="5919" width="8.5" style="1" customWidth="1"/>
    <col min="5920" max="5920" width="15" style="1" customWidth="1"/>
    <col min="5921" max="5925" width="8.83203125" style="1"/>
    <col min="5926" max="5926" width="17.1640625" style="1" customWidth="1"/>
    <col min="5927" max="5927" width="16" style="1" customWidth="1"/>
    <col min="5928" max="5928" width="9.6640625" style="1" customWidth="1"/>
    <col min="5929" max="6151" width="8.83203125" style="1"/>
    <col min="6152" max="6152" width="2.5" style="1" customWidth="1"/>
    <col min="6153" max="6153" width="2.33203125" style="1" customWidth="1"/>
    <col min="6154" max="6154" width="17.83203125" style="1" customWidth="1"/>
    <col min="6155" max="6155" width="10.5" style="1" customWidth="1"/>
    <col min="6156" max="6156" width="9" style="1" customWidth="1"/>
    <col min="6157" max="6157" width="8" style="1" customWidth="1"/>
    <col min="6158" max="6158" width="9" style="1" customWidth="1"/>
    <col min="6159" max="6159" width="8.5" style="1" customWidth="1"/>
    <col min="6160" max="6160" width="11.5" style="1" customWidth="1"/>
    <col min="6161" max="6161" width="8.5" style="1" customWidth="1"/>
    <col min="6162" max="6162" width="8.1640625" style="1" customWidth="1"/>
    <col min="6163" max="6163" width="7.33203125" style="1" customWidth="1"/>
    <col min="6164" max="6164" width="7.5" style="1" customWidth="1"/>
    <col min="6165" max="6165" width="8" style="1" customWidth="1"/>
    <col min="6166" max="6166" width="9" style="1" customWidth="1"/>
    <col min="6167" max="6168" width="8" style="1" customWidth="1"/>
    <col min="6169" max="6169" width="7.33203125" style="1" customWidth="1"/>
    <col min="6170" max="6170" width="7.5" style="1" customWidth="1"/>
    <col min="6171" max="6171" width="10.5" style="1" customWidth="1"/>
    <col min="6172" max="6172" width="9" style="1" customWidth="1"/>
    <col min="6173" max="6173" width="2.33203125" style="1" customWidth="1"/>
    <col min="6174" max="6174" width="15.5" style="1" customWidth="1"/>
    <col min="6175" max="6175" width="8.5" style="1" customWidth="1"/>
    <col min="6176" max="6176" width="15" style="1" customWidth="1"/>
    <col min="6177" max="6181" width="8.83203125" style="1"/>
    <col min="6182" max="6182" width="17.1640625" style="1" customWidth="1"/>
    <col min="6183" max="6183" width="16" style="1" customWidth="1"/>
    <col min="6184" max="6184" width="9.6640625" style="1" customWidth="1"/>
    <col min="6185" max="6407" width="8.83203125" style="1"/>
    <col min="6408" max="6408" width="2.5" style="1" customWidth="1"/>
    <col min="6409" max="6409" width="2.33203125" style="1" customWidth="1"/>
    <col min="6410" max="6410" width="17.83203125" style="1" customWidth="1"/>
    <col min="6411" max="6411" width="10.5" style="1" customWidth="1"/>
    <col min="6412" max="6412" width="9" style="1" customWidth="1"/>
    <col min="6413" max="6413" width="8" style="1" customWidth="1"/>
    <col min="6414" max="6414" width="9" style="1" customWidth="1"/>
    <col min="6415" max="6415" width="8.5" style="1" customWidth="1"/>
    <col min="6416" max="6416" width="11.5" style="1" customWidth="1"/>
    <col min="6417" max="6417" width="8.5" style="1" customWidth="1"/>
    <col min="6418" max="6418" width="8.1640625" style="1" customWidth="1"/>
    <col min="6419" max="6419" width="7.33203125" style="1" customWidth="1"/>
    <col min="6420" max="6420" width="7.5" style="1" customWidth="1"/>
    <col min="6421" max="6421" width="8" style="1" customWidth="1"/>
    <col min="6422" max="6422" width="9" style="1" customWidth="1"/>
    <col min="6423" max="6424" width="8" style="1" customWidth="1"/>
    <col min="6425" max="6425" width="7.33203125" style="1" customWidth="1"/>
    <col min="6426" max="6426" width="7.5" style="1" customWidth="1"/>
    <col min="6427" max="6427" width="10.5" style="1" customWidth="1"/>
    <col min="6428" max="6428" width="9" style="1" customWidth="1"/>
    <col min="6429" max="6429" width="2.33203125" style="1" customWidth="1"/>
    <col min="6430" max="6430" width="15.5" style="1" customWidth="1"/>
    <col min="6431" max="6431" width="8.5" style="1" customWidth="1"/>
    <col min="6432" max="6432" width="15" style="1" customWidth="1"/>
    <col min="6433" max="6437" width="8.83203125" style="1"/>
    <col min="6438" max="6438" width="17.1640625" style="1" customWidth="1"/>
    <col min="6439" max="6439" width="16" style="1" customWidth="1"/>
    <col min="6440" max="6440" width="9.6640625" style="1" customWidth="1"/>
    <col min="6441" max="6663" width="8.83203125" style="1"/>
    <col min="6664" max="6664" width="2.5" style="1" customWidth="1"/>
    <col min="6665" max="6665" width="2.33203125" style="1" customWidth="1"/>
    <col min="6666" max="6666" width="17.83203125" style="1" customWidth="1"/>
    <col min="6667" max="6667" width="10.5" style="1" customWidth="1"/>
    <col min="6668" max="6668" width="9" style="1" customWidth="1"/>
    <col min="6669" max="6669" width="8" style="1" customWidth="1"/>
    <col min="6670" max="6670" width="9" style="1" customWidth="1"/>
    <col min="6671" max="6671" width="8.5" style="1" customWidth="1"/>
    <col min="6672" max="6672" width="11.5" style="1" customWidth="1"/>
    <col min="6673" max="6673" width="8.5" style="1" customWidth="1"/>
    <col min="6674" max="6674" width="8.1640625" style="1" customWidth="1"/>
    <col min="6675" max="6675" width="7.33203125" style="1" customWidth="1"/>
    <col min="6676" max="6676" width="7.5" style="1" customWidth="1"/>
    <col min="6677" max="6677" width="8" style="1" customWidth="1"/>
    <col min="6678" max="6678" width="9" style="1" customWidth="1"/>
    <col min="6679" max="6680" width="8" style="1" customWidth="1"/>
    <col min="6681" max="6681" width="7.33203125" style="1" customWidth="1"/>
    <col min="6682" max="6682" width="7.5" style="1" customWidth="1"/>
    <col min="6683" max="6683" width="10.5" style="1" customWidth="1"/>
    <col min="6684" max="6684" width="9" style="1" customWidth="1"/>
    <col min="6685" max="6685" width="2.33203125" style="1" customWidth="1"/>
    <col min="6686" max="6686" width="15.5" style="1" customWidth="1"/>
    <col min="6687" max="6687" width="8.5" style="1" customWidth="1"/>
    <col min="6688" max="6688" width="15" style="1" customWidth="1"/>
    <col min="6689" max="6693" width="8.83203125" style="1"/>
    <col min="6694" max="6694" width="17.1640625" style="1" customWidth="1"/>
    <col min="6695" max="6695" width="16" style="1" customWidth="1"/>
    <col min="6696" max="6696" width="9.6640625" style="1" customWidth="1"/>
    <col min="6697" max="6919" width="8.83203125" style="1"/>
    <col min="6920" max="6920" width="2.5" style="1" customWidth="1"/>
    <col min="6921" max="6921" width="2.33203125" style="1" customWidth="1"/>
    <col min="6922" max="6922" width="17.83203125" style="1" customWidth="1"/>
    <col min="6923" max="6923" width="10.5" style="1" customWidth="1"/>
    <col min="6924" max="6924" width="9" style="1" customWidth="1"/>
    <col min="6925" max="6925" width="8" style="1" customWidth="1"/>
    <col min="6926" max="6926" width="9" style="1" customWidth="1"/>
    <col min="6927" max="6927" width="8.5" style="1" customWidth="1"/>
    <col min="6928" max="6928" width="11.5" style="1" customWidth="1"/>
    <col min="6929" max="6929" width="8.5" style="1" customWidth="1"/>
    <col min="6930" max="6930" width="8.1640625" style="1" customWidth="1"/>
    <col min="6931" max="6931" width="7.33203125" style="1" customWidth="1"/>
    <col min="6932" max="6932" width="7.5" style="1" customWidth="1"/>
    <col min="6933" max="6933" width="8" style="1" customWidth="1"/>
    <col min="6934" max="6934" width="9" style="1" customWidth="1"/>
    <col min="6935" max="6936" width="8" style="1" customWidth="1"/>
    <col min="6937" max="6937" width="7.33203125" style="1" customWidth="1"/>
    <col min="6938" max="6938" width="7.5" style="1" customWidth="1"/>
    <col min="6939" max="6939" width="10.5" style="1" customWidth="1"/>
    <col min="6940" max="6940" width="9" style="1" customWidth="1"/>
    <col min="6941" max="6941" width="2.33203125" style="1" customWidth="1"/>
    <col min="6942" max="6942" width="15.5" style="1" customWidth="1"/>
    <col min="6943" max="6943" width="8.5" style="1" customWidth="1"/>
    <col min="6944" max="6944" width="15" style="1" customWidth="1"/>
    <col min="6945" max="6949" width="8.83203125" style="1"/>
    <col min="6950" max="6950" width="17.1640625" style="1" customWidth="1"/>
    <col min="6951" max="6951" width="16" style="1" customWidth="1"/>
    <col min="6952" max="6952" width="9.6640625" style="1" customWidth="1"/>
    <col min="6953" max="7175" width="8.83203125" style="1"/>
    <col min="7176" max="7176" width="2.5" style="1" customWidth="1"/>
    <col min="7177" max="7177" width="2.33203125" style="1" customWidth="1"/>
    <col min="7178" max="7178" width="17.83203125" style="1" customWidth="1"/>
    <col min="7179" max="7179" width="10.5" style="1" customWidth="1"/>
    <col min="7180" max="7180" width="9" style="1" customWidth="1"/>
    <col min="7181" max="7181" width="8" style="1" customWidth="1"/>
    <col min="7182" max="7182" width="9" style="1" customWidth="1"/>
    <col min="7183" max="7183" width="8.5" style="1" customWidth="1"/>
    <col min="7184" max="7184" width="11.5" style="1" customWidth="1"/>
    <col min="7185" max="7185" width="8.5" style="1" customWidth="1"/>
    <col min="7186" max="7186" width="8.1640625" style="1" customWidth="1"/>
    <col min="7187" max="7187" width="7.33203125" style="1" customWidth="1"/>
    <col min="7188" max="7188" width="7.5" style="1" customWidth="1"/>
    <col min="7189" max="7189" width="8" style="1" customWidth="1"/>
    <col min="7190" max="7190" width="9" style="1" customWidth="1"/>
    <col min="7191" max="7192" width="8" style="1" customWidth="1"/>
    <col min="7193" max="7193" width="7.33203125" style="1" customWidth="1"/>
    <col min="7194" max="7194" width="7.5" style="1" customWidth="1"/>
    <col min="7195" max="7195" width="10.5" style="1" customWidth="1"/>
    <col min="7196" max="7196" width="9" style="1" customWidth="1"/>
    <col min="7197" max="7197" width="2.33203125" style="1" customWidth="1"/>
    <col min="7198" max="7198" width="15.5" style="1" customWidth="1"/>
    <col min="7199" max="7199" width="8.5" style="1" customWidth="1"/>
    <col min="7200" max="7200" width="15" style="1" customWidth="1"/>
    <col min="7201" max="7205" width="8.83203125" style="1"/>
    <col min="7206" max="7206" width="17.1640625" style="1" customWidth="1"/>
    <col min="7207" max="7207" width="16" style="1" customWidth="1"/>
    <col min="7208" max="7208" width="9.6640625" style="1" customWidth="1"/>
    <col min="7209" max="7431" width="8.83203125" style="1"/>
    <col min="7432" max="7432" width="2.5" style="1" customWidth="1"/>
    <col min="7433" max="7433" width="2.33203125" style="1" customWidth="1"/>
    <col min="7434" max="7434" width="17.83203125" style="1" customWidth="1"/>
    <col min="7435" max="7435" width="10.5" style="1" customWidth="1"/>
    <col min="7436" max="7436" width="9" style="1" customWidth="1"/>
    <col min="7437" max="7437" width="8" style="1" customWidth="1"/>
    <col min="7438" max="7438" width="9" style="1" customWidth="1"/>
    <col min="7439" max="7439" width="8.5" style="1" customWidth="1"/>
    <col min="7440" max="7440" width="11.5" style="1" customWidth="1"/>
    <col min="7441" max="7441" width="8.5" style="1" customWidth="1"/>
    <col min="7442" max="7442" width="8.1640625" style="1" customWidth="1"/>
    <col min="7443" max="7443" width="7.33203125" style="1" customWidth="1"/>
    <col min="7444" max="7444" width="7.5" style="1" customWidth="1"/>
    <col min="7445" max="7445" width="8" style="1" customWidth="1"/>
    <col min="7446" max="7446" width="9" style="1" customWidth="1"/>
    <col min="7447" max="7448" width="8" style="1" customWidth="1"/>
    <col min="7449" max="7449" width="7.33203125" style="1" customWidth="1"/>
    <col min="7450" max="7450" width="7.5" style="1" customWidth="1"/>
    <col min="7451" max="7451" width="10.5" style="1" customWidth="1"/>
    <col min="7452" max="7452" width="9" style="1" customWidth="1"/>
    <col min="7453" max="7453" width="2.33203125" style="1" customWidth="1"/>
    <col min="7454" max="7454" width="15.5" style="1" customWidth="1"/>
    <col min="7455" max="7455" width="8.5" style="1" customWidth="1"/>
    <col min="7456" max="7456" width="15" style="1" customWidth="1"/>
    <col min="7457" max="7461" width="8.83203125" style="1"/>
    <col min="7462" max="7462" width="17.1640625" style="1" customWidth="1"/>
    <col min="7463" max="7463" width="16" style="1" customWidth="1"/>
    <col min="7464" max="7464" width="9.6640625" style="1" customWidth="1"/>
    <col min="7465" max="7687" width="8.83203125" style="1"/>
    <col min="7688" max="7688" width="2.5" style="1" customWidth="1"/>
    <col min="7689" max="7689" width="2.33203125" style="1" customWidth="1"/>
    <col min="7690" max="7690" width="17.83203125" style="1" customWidth="1"/>
    <col min="7691" max="7691" width="10.5" style="1" customWidth="1"/>
    <col min="7692" max="7692" width="9" style="1" customWidth="1"/>
    <col min="7693" max="7693" width="8" style="1" customWidth="1"/>
    <col min="7694" max="7694" width="9" style="1" customWidth="1"/>
    <col min="7695" max="7695" width="8.5" style="1" customWidth="1"/>
    <col min="7696" max="7696" width="11.5" style="1" customWidth="1"/>
    <col min="7697" max="7697" width="8.5" style="1" customWidth="1"/>
    <col min="7698" max="7698" width="8.1640625" style="1" customWidth="1"/>
    <col min="7699" max="7699" width="7.33203125" style="1" customWidth="1"/>
    <col min="7700" max="7700" width="7.5" style="1" customWidth="1"/>
    <col min="7701" max="7701" width="8" style="1" customWidth="1"/>
    <col min="7702" max="7702" width="9" style="1" customWidth="1"/>
    <col min="7703" max="7704" width="8" style="1" customWidth="1"/>
    <col min="7705" max="7705" width="7.33203125" style="1" customWidth="1"/>
    <col min="7706" max="7706" width="7.5" style="1" customWidth="1"/>
    <col min="7707" max="7707" width="10.5" style="1" customWidth="1"/>
    <col min="7708" max="7708" width="9" style="1" customWidth="1"/>
    <col min="7709" max="7709" width="2.33203125" style="1" customWidth="1"/>
    <col min="7710" max="7710" width="15.5" style="1" customWidth="1"/>
    <col min="7711" max="7711" width="8.5" style="1" customWidth="1"/>
    <col min="7712" max="7712" width="15" style="1" customWidth="1"/>
    <col min="7713" max="7717" width="8.83203125" style="1"/>
    <col min="7718" max="7718" width="17.1640625" style="1" customWidth="1"/>
    <col min="7719" max="7719" width="16" style="1" customWidth="1"/>
    <col min="7720" max="7720" width="9.6640625" style="1" customWidth="1"/>
    <col min="7721" max="7943" width="8.83203125" style="1"/>
    <col min="7944" max="7944" width="2.5" style="1" customWidth="1"/>
    <col min="7945" max="7945" width="2.33203125" style="1" customWidth="1"/>
    <col min="7946" max="7946" width="17.83203125" style="1" customWidth="1"/>
    <col min="7947" max="7947" width="10.5" style="1" customWidth="1"/>
    <col min="7948" max="7948" width="9" style="1" customWidth="1"/>
    <col min="7949" max="7949" width="8" style="1" customWidth="1"/>
    <col min="7950" max="7950" width="9" style="1" customWidth="1"/>
    <col min="7951" max="7951" width="8.5" style="1" customWidth="1"/>
    <col min="7952" max="7952" width="11.5" style="1" customWidth="1"/>
    <col min="7953" max="7953" width="8.5" style="1" customWidth="1"/>
    <col min="7954" max="7954" width="8.1640625" style="1" customWidth="1"/>
    <col min="7955" max="7955" width="7.33203125" style="1" customWidth="1"/>
    <col min="7956" max="7956" width="7.5" style="1" customWidth="1"/>
    <col min="7957" max="7957" width="8" style="1" customWidth="1"/>
    <col min="7958" max="7958" width="9" style="1" customWidth="1"/>
    <col min="7959" max="7960" width="8" style="1" customWidth="1"/>
    <col min="7961" max="7961" width="7.33203125" style="1" customWidth="1"/>
    <col min="7962" max="7962" width="7.5" style="1" customWidth="1"/>
    <col min="7963" max="7963" width="10.5" style="1" customWidth="1"/>
    <col min="7964" max="7964" width="9" style="1" customWidth="1"/>
    <col min="7965" max="7965" width="2.33203125" style="1" customWidth="1"/>
    <col min="7966" max="7966" width="15.5" style="1" customWidth="1"/>
    <col min="7967" max="7967" width="8.5" style="1" customWidth="1"/>
    <col min="7968" max="7968" width="15" style="1" customWidth="1"/>
    <col min="7969" max="7973" width="8.83203125" style="1"/>
    <col min="7974" max="7974" width="17.1640625" style="1" customWidth="1"/>
    <col min="7975" max="7975" width="16" style="1" customWidth="1"/>
    <col min="7976" max="7976" width="9.6640625" style="1" customWidth="1"/>
    <col min="7977" max="8199" width="8.83203125" style="1"/>
    <col min="8200" max="8200" width="2.5" style="1" customWidth="1"/>
    <col min="8201" max="8201" width="2.33203125" style="1" customWidth="1"/>
    <col min="8202" max="8202" width="17.83203125" style="1" customWidth="1"/>
    <col min="8203" max="8203" width="10.5" style="1" customWidth="1"/>
    <col min="8204" max="8204" width="9" style="1" customWidth="1"/>
    <col min="8205" max="8205" width="8" style="1" customWidth="1"/>
    <col min="8206" max="8206" width="9" style="1" customWidth="1"/>
    <col min="8207" max="8207" width="8.5" style="1" customWidth="1"/>
    <col min="8208" max="8208" width="11.5" style="1" customWidth="1"/>
    <col min="8209" max="8209" width="8.5" style="1" customWidth="1"/>
    <col min="8210" max="8210" width="8.1640625" style="1" customWidth="1"/>
    <col min="8211" max="8211" width="7.33203125" style="1" customWidth="1"/>
    <col min="8212" max="8212" width="7.5" style="1" customWidth="1"/>
    <col min="8213" max="8213" width="8" style="1" customWidth="1"/>
    <col min="8214" max="8214" width="9" style="1" customWidth="1"/>
    <col min="8215" max="8216" width="8" style="1" customWidth="1"/>
    <col min="8217" max="8217" width="7.33203125" style="1" customWidth="1"/>
    <col min="8218" max="8218" width="7.5" style="1" customWidth="1"/>
    <col min="8219" max="8219" width="10.5" style="1" customWidth="1"/>
    <col min="8220" max="8220" width="9" style="1" customWidth="1"/>
    <col min="8221" max="8221" width="2.33203125" style="1" customWidth="1"/>
    <col min="8222" max="8222" width="15.5" style="1" customWidth="1"/>
    <col min="8223" max="8223" width="8.5" style="1" customWidth="1"/>
    <col min="8224" max="8224" width="15" style="1" customWidth="1"/>
    <col min="8225" max="8229" width="8.83203125" style="1"/>
    <col min="8230" max="8230" width="17.1640625" style="1" customWidth="1"/>
    <col min="8231" max="8231" width="16" style="1" customWidth="1"/>
    <col min="8232" max="8232" width="9.6640625" style="1" customWidth="1"/>
    <col min="8233" max="8455" width="8.83203125" style="1"/>
    <col min="8456" max="8456" width="2.5" style="1" customWidth="1"/>
    <col min="8457" max="8457" width="2.33203125" style="1" customWidth="1"/>
    <col min="8458" max="8458" width="17.83203125" style="1" customWidth="1"/>
    <col min="8459" max="8459" width="10.5" style="1" customWidth="1"/>
    <col min="8460" max="8460" width="9" style="1" customWidth="1"/>
    <col min="8461" max="8461" width="8" style="1" customWidth="1"/>
    <col min="8462" max="8462" width="9" style="1" customWidth="1"/>
    <col min="8463" max="8463" width="8.5" style="1" customWidth="1"/>
    <col min="8464" max="8464" width="11.5" style="1" customWidth="1"/>
    <col min="8465" max="8465" width="8.5" style="1" customWidth="1"/>
    <col min="8466" max="8466" width="8.1640625" style="1" customWidth="1"/>
    <col min="8467" max="8467" width="7.33203125" style="1" customWidth="1"/>
    <col min="8468" max="8468" width="7.5" style="1" customWidth="1"/>
    <col min="8469" max="8469" width="8" style="1" customWidth="1"/>
    <col min="8470" max="8470" width="9" style="1" customWidth="1"/>
    <col min="8471" max="8472" width="8" style="1" customWidth="1"/>
    <col min="8473" max="8473" width="7.33203125" style="1" customWidth="1"/>
    <col min="8474" max="8474" width="7.5" style="1" customWidth="1"/>
    <col min="8475" max="8475" width="10.5" style="1" customWidth="1"/>
    <col min="8476" max="8476" width="9" style="1" customWidth="1"/>
    <col min="8477" max="8477" width="2.33203125" style="1" customWidth="1"/>
    <col min="8478" max="8478" width="15.5" style="1" customWidth="1"/>
    <col min="8479" max="8479" width="8.5" style="1" customWidth="1"/>
    <col min="8480" max="8480" width="15" style="1" customWidth="1"/>
    <col min="8481" max="8485" width="8.83203125" style="1"/>
    <col min="8486" max="8486" width="17.1640625" style="1" customWidth="1"/>
    <col min="8487" max="8487" width="16" style="1" customWidth="1"/>
    <col min="8488" max="8488" width="9.6640625" style="1" customWidth="1"/>
    <col min="8489" max="8711" width="8.83203125" style="1"/>
    <col min="8712" max="8712" width="2.5" style="1" customWidth="1"/>
    <col min="8713" max="8713" width="2.33203125" style="1" customWidth="1"/>
    <col min="8714" max="8714" width="17.83203125" style="1" customWidth="1"/>
    <col min="8715" max="8715" width="10.5" style="1" customWidth="1"/>
    <col min="8716" max="8716" width="9" style="1" customWidth="1"/>
    <col min="8717" max="8717" width="8" style="1" customWidth="1"/>
    <col min="8718" max="8718" width="9" style="1" customWidth="1"/>
    <col min="8719" max="8719" width="8.5" style="1" customWidth="1"/>
    <col min="8720" max="8720" width="11.5" style="1" customWidth="1"/>
    <col min="8721" max="8721" width="8.5" style="1" customWidth="1"/>
    <col min="8722" max="8722" width="8.1640625" style="1" customWidth="1"/>
    <col min="8723" max="8723" width="7.33203125" style="1" customWidth="1"/>
    <col min="8724" max="8724" width="7.5" style="1" customWidth="1"/>
    <col min="8725" max="8725" width="8" style="1" customWidth="1"/>
    <col min="8726" max="8726" width="9" style="1" customWidth="1"/>
    <col min="8727" max="8728" width="8" style="1" customWidth="1"/>
    <col min="8729" max="8729" width="7.33203125" style="1" customWidth="1"/>
    <col min="8730" max="8730" width="7.5" style="1" customWidth="1"/>
    <col min="8731" max="8731" width="10.5" style="1" customWidth="1"/>
    <col min="8732" max="8732" width="9" style="1" customWidth="1"/>
    <col min="8733" max="8733" width="2.33203125" style="1" customWidth="1"/>
    <col min="8734" max="8734" width="15.5" style="1" customWidth="1"/>
    <col min="8735" max="8735" width="8.5" style="1" customWidth="1"/>
    <col min="8736" max="8736" width="15" style="1" customWidth="1"/>
    <col min="8737" max="8741" width="8.83203125" style="1"/>
    <col min="8742" max="8742" width="17.1640625" style="1" customWidth="1"/>
    <col min="8743" max="8743" width="16" style="1" customWidth="1"/>
    <col min="8744" max="8744" width="9.6640625" style="1" customWidth="1"/>
    <col min="8745" max="8967" width="8.83203125" style="1"/>
    <col min="8968" max="8968" width="2.5" style="1" customWidth="1"/>
    <col min="8969" max="8969" width="2.33203125" style="1" customWidth="1"/>
    <col min="8970" max="8970" width="17.83203125" style="1" customWidth="1"/>
    <col min="8971" max="8971" width="10.5" style="1" customWidth="1"/>
    <col min="8972" max="8972" width="9" style="1" customWidth="1"/>
    <col min="8973" max="8973" width="8" style="1" customWidth="1"/>
    <col min="8974" max="8974" width="9" style="1" customWidth="1"/>
    <col min="8975" max="8975" width="8.5" style="1" customWidth="1"/>
    <col min="8976" max="8976" width="11.5" style="1" customWidth="1"/>
    <col min="8977" max="8977" width="8.5" style="1" customWidth="1"/>
    <col min="8978" max="8978" width="8.1640625" style="1" customWidth="1"/>
    <col min="8979" max="8979" width="7.33203125" style="1" customWidth="1"/>
    <col min="8980" max="8980" width="7.5" style="1" customWidth="1"/>
    <col min="8981" max="8981" width="8" style="1" customWidth="1"/>
    <col min="8982" max="8982" width="9" style="1" customWidth="1"/>
    <col min="8983" max="8984" width="8" style="1" customWidth="1"/>
    <col min="8985" max="8985" width="7.33203125" style="1" customWidth="1"/>
    <col min="8986" max="8986" width="7.5" style="1" customWidth="1"/>
    <col min="8987" max="8987" width="10.5" style="1" customWidth="1"/>
    <col min="8988" max="8988" width="9" style="1" customWidth="1"/>
    <col min="8989" max="8989" width="2.33203125" style="1" customWidth="1"/>
    <col min="8990" max="8990" width="15.5" style="1" customWidth="1"/>
    <col min="8991" max="8991" width="8.5" style="1" customWidth="1"/>
    <col min="8992" max="8992" width="15" style="1" customWidth="1"/>
    <col min="8993" max="8997" width="8.83203125" style="1"/>
    <col min="8998" max="8998" width="17.1640625" style="1" customWidth="1"/>
    <col min="8999" max="8999" width="16" style="1" customWidth="1"/>
    <col min="9000" max="9000" width="9.6640625" style="1" customWidth="1"/>
    <col min="9001" max="9223" width="8.83203125" style="1"/>
    <col min="9224" max="9224" width="2.5" style="1" customWidth="1"/>
    <col min="9225" max="9225" width="2.33203125" style="1" customWidth="1"/>
    <col min="9226" max="9226" width="17.83203125" style="1" customWidth="1"/>
    <col min="9227" max="9227" width="10.5" style="1" customWidth="1"/>
    <col min="9228" max="9228" width="9" style="1" customWidth="1"/>
    <col min="9229" max="9229" width="8" style="1" customWidth="1"/>
    <col min="9230" max="9230" width="9" style="1" customWidth="1"/>
    <col min="9231" max="9231" width="8.5" style="1" customWidth="1"/>
    <col min="9232" max="9232" width="11.5" style="1" customWidth="1"/>
    <col min="9233" max="9233" width="8.5" style="1" customWidth="1"/>
    <col min="9234" max="9234" width="8.1640625" style="1" customWidth="1"/>
    <col min="9235" max="9235" width="7.33203125" style="1" customWidth="1"/>
    <col min="9236" max="9236" width="7.5" style="1" customWidth="1"/>
    <col min="9237" max="9237" width="8" style="1" customWidth="1"/>
    <col min="9238" max="9238" width="9" style="1" customWidth="1"/>
    <col min="9239" max="9240" width="8" style="1" customWidth="1"/>
    <col min="9241" max="9241" width="7.33203125" style="1" customWidth="1"/>
    <col min="9242" max="9242" width="7.5" style="1" customWidth="1"/>
    <col min="9243" max="9243" width="10.5" style="1" customWidth="1"/>
    <col min="9244" max="9244" width="9" style="1" customWidth="1"/>
    <col min="9245" max="9245" width="2.33203125" style="1" customWidth="1"/>
    <col min="9246" max="9246" width="15.5" style="1" customWidth="1"/>
    <col min="9247" max="9247" width="8.5" style="1" customWidth="1"/>
    <col min="9248" max="9248" width="15" style="1" customWidth="1"/>
    <col min="9249" max="9253" width="8.83203125" style="1"/>
    <col min="9254" max="9254" width="17.1640625" style="1" customWidth="1"/>
    <col min="9255" max="9255" width="16" style="1" customWidth="1"/>
    <col min="9256" max="9256" width="9.6640625" style="1" customWidth="1"/>
    <col min="9257" max="9479" width="8.83203125" style="1"/>
    <col min="9480" max="9480" width="2.5" style="1" customWidth="1"/>
    <col min="9481" max="9481" width="2.33203125" style="1" customWidth="1"/>
    <col min="9482" max="9482" width="17.83203125" style="1" customWidth="1"/>
    <col min="9483" max="9483" width="10.5" style="1" customWidth="1"/>
    <col min="9484" max="9484" width="9" style="1" customWidth="1"/>
    <col min="9485" max="9485" width="8" style="1" customWidth="1"/>
    <col min="9486" max="9486" width="9" style="1" customWidth="1"/>
    <col min="9487" max="9487" width="8.5" style="1" customWidth="1"/>
    <col min="9488" max="9488" width="11.5" style="1" customWidth="1"/>
    <col min="9489" max="9489" width="8.5" style="1" customWidth="1"/>
    <col min="9490" max="9490" width="8.1640625" style="1" customWidth="1"/>
    <col min="9491" max="9491" width="7.33203125" style="1" customWidth="1"/>
    <col min="9492" max="9492" width="7.5" style="1" customWidth="1"/>
    <col min="9493" max="9493" width="8" style="1" customWidth="1"/>
    <col min="9494" max="9494" width="9" style="1" customWidth="1"/>
    <col min="9495" max="9496" width="8" style="1" customWidth="1"/>
    <col min="9497" max="9497" width="7.33203125" style="1" customWidth="1"/>
    <col min="9498" max="9498" width="7.5" style="1" customWidth="1"/>
    <col min="9499" max="9499" width="10.5" style="1" customWidth="1"/>
    <col min="9500" max="9500" width="9" style="1" customWidth="1"/>
    <col min="9501" max="9501" width="2.33203125" style="1" customWidth="1"/>
    <col min="9502" max="9502" width="15.5" style="1" customWidth="1"/>
    <col min="9503" max="9503" width="8.5" style="1" customWidth="1"/>
    <col min="9504" max="9504" width="15" style="1" customWidth="1"/>
    <col min="9505" max="9509" width="8.83203125" style="1"/>
    <col min="9510" max="9510" width="17.1640625" style="1" customWidth="1"/>
    <col min="9511" max="9511" width="16" style="1" customWidth="1"/>
    <col min="9512" max="9512" width="9.6640625" style="1" customWidth="1"/>
    <col min="9513" max="9735" width="8.83203125" style="1"/>
    <col min="9736" max="9736" width="2.5" style="1" customWidth="1"/>
    <col min="9737" max="9737" width="2.33203125" style="1" customWidth="1"/>
    <col min="9738" max="9738" width="17.83203125" style="1" customWidth="1"/>
    <col min="9739" max="9739" width="10.5" style="1" customWidth="1"/>
    <col min="9740" max="9740" width="9" style="1" customWidth="1"/>
    <col min="9741" max="9741" width="8" style="1" customWidth="1"/>
    <col min="9742" max="9742" width="9" style="1" customWidth="1"/>
    <col min="9743" max="9743" width="8.5" style="1" customWidth="1"/>
    <col min="9744" max="9744" width="11.5" style="1" customWidth="1"/>
    <col min="9745" max="9745" width="8.5" style="1" customWidth="1"/>
    <col min="9746" max="9746" width="8.1640625" style="1" customWidth="1"/>
    <col min="9747" max="9747" width="7.33203125" style="1" customWidth="1"/>
    <col min="9748" max="9748" width="7.5" style="1" customWidth="1"/>
    <col min="9749" max="9749" width="8" style="1" customWidth="1"/>
    <col min="9750" max="9750" width="9" style="1" customWidth="1"/>
    <col min="9751" max="9752" width="8" style="1" customWidth="1"/>
    <col min="9753" max="9753" width="7.33203125" style="1" customWidth="1"/>
    <col min="9754" max="9754" width="7.5" style="1" customWidth="1"/>
    <col min="9755" max="9755" width="10.5" style="1" customWidth="1"/>
    <col min="9756" max="9756" width="9" style="1" customWidth="1"/>
    <col min="9757" max="9757" width="2.33203125" style="1" customWidth="1"/>
    <col min="9758" max="9758" width="15.5" style="1" customWidth="1"/>
    <col min="9759" max="9759" width="8.5" style="1" customWidth="1"/>
    <col min="9760" max="9760" width="15" style="1" customWidth="1"/>
    <col min="9761" max="9765" width="8.83203125" style="1"/>
    <col min="9766" max="9766" width="17.1640625" style="1" customWidth="1"/>
    <col min="9767" max="9767" width="16" style="1" customWidth="1"/>
    <col min="9768" max="9768" width="9.6640625" style="1" customWidth="1"/>
    <col min="9769" max="9991" width="8.83203125" style="1"/>
    <col min="9992" max="9992" width="2.5" style="1" customWidth="1"/>
    <col min="9993" max="9993" width="2.33203125" style="1" customWidth="1"/>
    <col min="9994" max="9994" width="17.83203125" style="1" customWidth="1"/>
    <col min="9995" max="9995" width="10.5" style="1" customWidth="1"/>
    <col min="9996" max="9996" width="9" style="1" customWidth="1"/>
    <col min="9997" max="9997" width="8" style="1" customWidth="1"/>
    <col min="9998" max="9998" width="9" style="1" customWidth="1"/>
    <col min="9999" max="9999" width="8.5" style="1" customWidth="1"/>
    <col min="10000" max="10000" width="11.5" style="1" customWidth="1"/>
    <col min="10001" max="10001" width="8.5" style="1" customWidth="1"/>
    <col min="10002" max="10002" width="8.1640625" style="1" customWidth="1"/>
    <col min="10003" max="10003" width="7.33203125" style="1" customWidth="1"/>
    <col min="10004" max="10004" width="7.5" style="1" customWidth="1"/>
    <col min="10005" max="10005" width="8" style="1" customWidth="1"/>
    <col min="10006" max="10006" width="9" style="1" customWidth="1"/>
    <col min="10007" max="10008" width="8" style="1" customWidth="1"/>
    <col min="10009" max="10009" width="7.33203125" style="1" customWidth="1"/>
    <col min="10010" max="10010" width="7.5" style="1" customWidth="1"/>
    <col min="10011" max="10011" width="10.5" style="1" customWidth="1"/>
    <col min="10012" max="10012" width="9" style="1" customWidth="1"/>
    <col min="10013" max="10013" width="2.33203125" style="1" customWidth="1"/>
    <col min="10014" max="10014" width="15.5" style="1" customWidth="1"/>
    <col min="10015" max="10015" width="8.5" style="1" customWidth="1"/>
    <col min="10016" max="10016" width="15" style="1" customWidth="1"/>
    <col min="10017" max="10021" width="8.83203125" style="1"/>
    <col min="10022" max="10022" width="17.1640625" style="1" customWidth="1"/>
    <col min="10023" max="10023" width="16" style="1" customWidth="1"/>
    <col min="10024" max="10024" width="9.6640625" style="1" customWidth="1"/>
    <col min="10025" max="10247" width="8.83203125" style="1"/>
    <col min="10248" max="10248" width="2.5" style="1" customWidth="1"/>
    <col min="10249" max="10249" width="2.33203125" style="1" customWidth="1"/>
    <col min="10250" max="10250" width="17.83203125" style="1" customWidth="1"/>
    <col min="10251" max="10251" width="10.5" style="1" customWidth="1"/>
    <col min="10252" max="10252" width="9" style="1" customWidth="1"/>
    <col min="10253" max="10253" width="8" style="1" customWidth="1"/>
    <col min="10254" max="10254" width="9" style="1" customWidth="1"/>
    <col min="10255" max="10255" width="8.5" style="1" customWidth="1"/>
    <col min="10256" max="10256" width="11.5" style="1" customWidth="1"/>
    <col min="10257" max="10257" width="8.5" style="1" customWidth="1"/>
    <col min="10258" max="10258" width="8.1640625" style="1" customWidth="1"/>
    <col min="10259" max="10259" width="7.33203125" style="1" customWidth="1"/>
    <col min="10260" max="10260" width="7.5" style="1" customWidth="1"/>
    <col min="10261" max="10261" width="8" style="1" customWidth="1"/>
    <col min="10262" max="10262" width="9" style="1" customWidth="1"/>
    <col min="10263" max="10264" width="8" style="1" customWidth="1"/>
    <col min="10265" max="10265" width="7.33203125" style="1" customWidth="1"/>
    <col min="10266" max="10266" width="7.5" style="1" customWidth="1"/>
    <col min="10267" max="10267" width="10.5" style="1" customWidth="1"/>
    <col min="10268" max="10268" width="9" style="1" customWidth="1"/>
    <col min="10269" max="10269" width="2.33203125" style="1" customWidth="1"/>
    <col min="10270" max="10270" width="15.5" style="1" customWidth="1"/>
    <col min="10271" max="10271" width="8.5" style="1" customWidth="1"/>
    <col min="10272" max="10272" width="15" style="1" customWidth="1"/>
    <col min="10273" max="10277" width="8.83203125" style="1"/>
    <col min="10278" max="10278" width="17.1640625" style="1" customWidth="1"/>
    <col min="10279" max="10279" width="16" style="1" customWidth="1"/>
    <col min="10280" max="10280" width="9.6640625" style="1" customWidth="1"/>
    <col min="10281" max="10503" width="8.83203125" style="1"/>
    <col min="10504" max="10504" width="2.5" style="1" customWidth="1"/>
    <col min="10505" max="10505" width="2.33203125" style="1" customWidth="1"/>
    <col min="10506" max="10506" width="17.83203125" style="1" customWidth="1"/>
    <col min="10507" max="10507" width="10.5" style="1" customWidth="1"/>
    <col min="10508" max="10508" width="9" style="1" customWidth="1"/>
    <col min="10509" max="10509" width="8" style="1" customWidth="1"/>
    <col min="10510" max="10510" width="9" style="1" customWidth="1"/>
    <col min="10511" max="10511" width="8.5" style="1" customWidth="1"/>
    <col min="10512" max="10512" width="11.5" style="1" customWidth="1"/>
    <col min="10513" max="10513" width="8.5" style="1" customWidth="1"/>
    <col min="10514" max="10514" width="8.1640625" style="1" customWidth="1"/>
    <col min="10515" max="10515" width="7.33203125" style="1" customWidth="1"/>
    <col min="10516" max="10516" width="7.5" style="1" customWidth="1"/>
    <col min="10517" max="10517" width="8" style="1" customWidth="1"/>
    <col min="10518" max="10518" width="9" style="1" customWidth="1"/>
    <col min="10519" max="10520" width="8" style="1" customWidth="1"/>
    <col min="10521" max="10521" width="7.33203125" style="1" customWidth="1"/>
    <col min="10522" max="10522" width="7.5" style="1" customWidth="1"/>
    <col min="10523" max="10523" width="10.5" style="1" customWidth="1"/>
    <col min="10524" max="10524" width="9" style="1" customWidth="1"/>
    <col min="10525" max="10525" width="2.33203125" style="1" customWidth="1"/>
    <col min="10526" max="10526" width="15.5" style="1" customWidth="1"/>
    <col min="10527" max="10527" width="8.5" style="1" customWidth="1"/>
    <col min="10528" max="10528" width="15" style="1" customWidth="1"/>
    <col min="10529" max="10533" width="8.83203125" style="1"/>
    <col min="10534" max="10534" width="17.1640625" style="1" customWidth="1"/>
    <col min="10535" max="10535" width="16" style="1" customWidth="1"/>
    <col min="10536" max="10536" width="9.6640625" style="1" customWidth="1"/>
    <col min="10537" max="10759" width="8.83203125" style="1"/>
    <col min="10760" max="10760" width="2.5" style="1" customWidth="1"/>
    <col min="10761" max="10761" width="2.33203125" style="1" customWidth="1"/>
    <col min="10762" max="10762" width="17.83203125" style="1" customWidth="1"/>
    <col min="10763" max="10763" width="10.5" style="1" customWidth="1"/>
    <col min="10764" max="10764" width="9" style="1" customWidth="1"/>
    <col min="10765" max="10765" width="8" style="1" customWidth="1"/>
    <col min="10766" max="10766" width="9" style="1" customWidth="1"/>
    <col min="10767" max="10767" width="8.5" style="1" customWidth="1"/>
    <col min="10768" max="10768" width="11.5" style="1" customWidth="1"/>
    <col min="10769" max="10769" width="8.5" style="1" customWidth="1"/>
    <col min="10770" max="10770" width="8.1640625" style="1" customWidth="1"/>
    <col min="10771" max="10771" width="7.33203125" style="1" customWidth="1"/>
    <col min="10772" max="10772" width="7.5" style="1" customWidth="1"/>
    <col min="10773" max="10773" width="8" style="1" customWidth="1"/>
    <col min="10774" max="10774" width="9" style="1" customWidth="1"/>
    <col min="10775" max="10776" width="8" style="1" customWidth="1"/>
    <col min="10777" max="10777" width="7.33203125" style="1" customWidth="1"/>
    <col min="10778" max="10778" width="7.5" style="1" customWidth="1"/>
    <col min="10779" max="10779" width="10.5" style="1" customWidth="1"/>
    <col min="10780" max="10780" width="9" style="1" customWidth="1"/>
    <col min="10781" max="10781" width="2.33203125" style="1" customWidth="1"/>
    <col min="10782" max="10782" width="15.5" style="1" customWidth="1"/>
    <col min="10783" max="10783" width="8.5" style="1" customWidth="1"/>
    <col min="10784" max="10784" width="15" style="1" customWidth="1"/>
    <col min="10785" max="10789" width="8.83203125" style="1"/>
    <col min="10790" max="10790" width="17.1640625" style="1" customWidth="1"/>
    <col min="10791" max="10791" width="16" style="1" customWidth="1"/>
    <col min="10792" max="10792" width="9.6640625" style="1" customWidth="1"/>
    <col min="10793" max="11015" width="8.83203125" style="1"/>
    <col min="11016" max="11016" width="2.5" style="1" customWidth="1"/>
    <col min="11017" max="11017" width="2.33203125" style="1" customWidth="1"/>
    <col min="11018" max="11018" width="17.83203125" style="1" customWidth="1"/>
    <col min="11019" max="11019" width="10.5" style="1" customWidth="1"/>
    <col min="11020" max="11020" width="9" style="1" customWidth="1"/>
    <col min="11021" max="11021" width="8" style="1" customWidth="1"/>
    <col min="11022" max="11022" width="9" style="1" customWidth="1"/>
    <col min="11023" max="11023" width="8.5" style="1" customWidth="1"/>
    <col min="11024" max="11024" width="11.5" style="1" customWidth="1"/>
    <col min="11025" max="11025" width="8.5" style="1" customWidth="1"/>
    <col min="11026" max="11026" width="8.1640625" style="1" customWidth="1"/>
    <col min="11027" max="11027" width="7.33203125" style="1" customWidth="1"/>
    <col min="11028" max="11028" width="7.5" style="1" customWidth="1"/>
    <col min="11029" max="11029" width="8" style="1" customWidth="1"/>
    <col min="11030" max="11030" width="9" style="1" customWidth="1"/>
    <col min="11031" max="11032" width="8" style="1" customWidth="1"/>
    <col min="11033" max="11033" width="7.33203125" style="1" customWidth="1"/>
    <col min="11034" max="11034" width="7.5" style="1" customWidth="1"/>
    <col min="11035" max="11035" width="10.5" style="1" customWidth="1"/>
    <col min="11036" max="11036" width="9" style="1" customWidth="1"/>
    <col min="11037" max="11037" width="2.33203125" style="1" customWidth="1"/>
    <col min="11038" max="11038" width="15.5" style="1" customWidth="1"/>
    <col min="11039" max="11039" width="8.5" style="1" customWidth="1"/>
    <col min="11040" max="11040" width="15" style="1" customWidth="1"/>
    <col min="11041" max="11045" width="8.83203125" style="1"/>
    <col min="11046" max="11046" width="17.1640625" style="1" customWidth="1"/>
    <col min="11047" max="11047" width="16" style="1" customWidth="1"/>
    <col min="11048" max="11048" width="9.6640625" style="1" customWidth="1"/>
    <col min="11049" max="11271" width="8.83203125" style="1"/>
    <col min="11272" max="11272" width="2.5" style="1" customWidth="1"/>
    <col min="11273" max="11273" width="2.33203125" style="1" customWidth="1"/>
    <col min="11274" max="11274" width="17.83203125" style="1" customWidth="1"/>
    <col min="11275" max="11275" width="10.5" style="1" customWidth="1"/>
    <col min="11276" max="11276" width="9" style="1" customWidth="1"/>
    <col min="11277" max="11277" width="8" style="1" customWidth="1"/>
    <col min="11278" max="11278" width="9" style="1" customWidth="1"/>
    <col min="11279" max="11279" width="8.5" style="1" customWidth="1"/>
    <col min="11280" max="11280" width="11.5" style="1" customWidth="1"/>
    <col min="11281" max="11281" width="8.5" style="1" customWidth="1"/>
    <col min="11282" max="11282" width="8.1640625" style="1" customWidth="1"/>
    <col min="11283" max="11283" width="7.33203125" style="1" customWidth="1"/>
    <col min="11284" max="11284" width="7.5" style="1" customWidth="1"/>
    <col min="11285" max="11285" width="8" style="1" customWidth="1"/>
    <col min="11286" max="11286" width="9" style="1" customWidth="1"/>
    <col min="11287" max="11288" width="8" style="1" customWidth="1"/>
    <col min="11289" max="11289" width="7.33203125" style="1" customWidth="1"/>
    <col min="11290" max="11290" width="7.5" style="1" customWidth="1"/>
    <col min="11291" max="11291" width="10.5" style="1" customWidth="1"/>
    <col min="11292" max="11292" width="9" style="1" customWidth="1"/>
    <col min="11293" max="11293" width="2.33203125" style="1" customWidth="1"/>
    <col min="11294" max="11294" width="15.5" style="1" customWidth="1"/>
    <col min="11295" max="11295" width="8.5" style="1" customWidth="1"/>
    <col min="11296" max="11296" width="15" style="1" customWidth="1"/>
    <col min="11297" max="11301" width="8.83203125" style="1"/>
    <col min="11302" max="11302" width="17.1640625" style="1" customWidth="1"/>
    <col min="11303" max="11303" width="16" style="1" customWidth="1"/>
    <col min="11304" max="11304" width="9.6640625" style="1" customWidth="1"/>
    <col min="11305" max="11527" width="8.83203125" style="1"/>
    <col min="11528" max="11528" width="2.5" style="1" customWidth="1"/>
    <col min="11529" max="11529" width="2.33203125" style="1" customWidth="1"/>
    <col min="11530" max="11530" width="17.83203125" style="1" customWidth="1"/>
    <col min="11531" max="11531" width="10.5" style="1" customWidth="1"/>
    <col min="11532" max="11532" width="9" style="1" customWidth="1"/>
    <col min="11533" max="11533" width="8" style="1" customWidth="1"/>
    <col min="11534" max="11534" width="9" style="1" customWidth="1"/>
    <col min="11535" max="11535" width="8.5" style="1" customWidth="1"/>
    <col min="11536" max="11536" width="11.5" style="1" customWidth="1"/>
    <col min="11537" max="11537" width="8.5" style="1" customWidth="1"/>
    <col min="11538" max="11538" width="8.1640625" style="1" customWidth="1"/>
    <col min="11539" max="11539" width="7.33203125" style="1" customWidth="1"/>
    <col min="11540" max="11540" width="7.5" style="1" customWidth="1"/>
    <col min="11541" max="11541" width="8" style="1" customWidth="1"/>
    <col min="11542" max="11542" width="9" style="1" customWidth="1"/>
    <col min="11543" max="11544" width="8" style="1" customWidth="1"/>
    <col min="11545" max="11545" width="7.33203125" style="1" customWidth="1"/>
    <col min="11546" max="11546" width="7.5" style="1" customWidth="1"/>
    <col min="11547" max="11547" width="10.5" style="1" customWidth="1"/>
    <col min="11548" max="11548" width="9" style="1" customWidth="1"/>
    <col min="11549" max="11549" width="2.33203125" style="1" customWidth="1"/>
    <col min="11550" max="11550" width="15.5" style="1" customWidth="1"/>
    <col min="11551" max="11551" width="8.5" style="1" customWidth="1"/>
    <col min="11552" max="11552" width="15" style="1" customWidth="1"/>
    <col min="11553" max="11557" width="8.83203125" style="1"/>
    <col min="11558" max="11558" width="17.1640625" style="1" customWidth="1"/>
    <col min="11559" max="11559" width="16" style="1" customWidth="1"/>
    <col min="11560" max="11560" width="9.6640625" style="1" customWidth="1"/>
    <col min="11561" max="11783" width="8.83203125" style="1"/>
    <col min="11784" max="11784" width="2.5" style="1" customWidth="1"/>
    <col min="11785" max="11785" width="2.33203125" style="1" customWidth="1"/>
    <col min="11786" max="11786" width="17.83203125" style="1" customWidth="1"/>
    <col min="11787" max="11787" width="10.5" style="1" customWidth="1"/>
    <col min="11788" max="11788" width="9" style="1" customWidth="1"/>
    <col min="11789" max="11789" width="8" style="1" customWidth="1"/>
    <col min="11790" max="11790" width="9" style="1" customWidth="1"/>
    <col min="11791" max="11791" width="8.5" style="1" customWidth="1"/>
    <col min="11792" max="11792" width="11.5" style="1" customWidth="1"/>
    <col min="11793" max="11793" width="8.5" style="1" customWidth="1"/>
    <col min="11794" max="11794" width="8.1640625" style="1" customWidth="1"/>
    <col min="11795" max="11795" width="7.33203125" style="1" customWidth="1"/>
    <col min="11796" max="11796" width="7.5" style="1" customWidth="1"/>
    <col min="11797" max="11797" width="8" style="1" customWidth="1"/>
    <col min="11798" max="11798" width="9" style="1" customWidth="1"/>
    <col min="11799" max="11800" width="8" style="1" customWidth="1"/>
    <col min="11801" max="11801" width="7.33203125" style="1" customWidth="1"/>
    <col min="11802" max="11802" width="7.5" style="1" customWidth="1"/>
    <col min="11803" max="11803" width="10.5" style="1" customWidth="1"/>
    <col min="11804" max="11804" width="9" style="1" customWidth="1"/>
    <col min="11805" max="11805" width="2.33203125" style="1" customWidth="1"/>
    <col min="11806" max="11806" width="15.5" style="1" customWidth="1"/>
    <col min="11807" max="11807" width="8.5" style="1" customWidth="1"/>
    <col min="11808" max="11808" width="15" style="1" customWidth="1"/>
    <col min="11809" max="11813" width="8.83203125" style="1"/>
    <col min="11814" max="11814" width="17.1640625" style="1" customWidth="1"/>
    <col min="11815" max="11815" width="16" style="1" customWidth="1"/>
    <col min="11816" max="11816" width="9.6640625" style="1" customWidth="1"/>
    <col min="11817" max="12039" width="8.83203125" style="1"/>
    <col min="12040" max="12040" width="2.5" style="1" customWidth="1"/>
    <col min="12041" max="12041" width="2.33203125" style="1" customWidth="1"/>
    <col min="12042" max="12042" width="17.83203125" style="1" customWidth="1"/>
    <col min="12043" max="12043" width="10.5" style="1" customWidth="1"/>
    <col min="12044" max="12044" width="9" style="1" customWidth="1"/>
    <col min="12045" max="12045" width="8" style="1" customWidth="1"/>
    <col min="12046" max="12046" width="9" style="1" customWidth="1"/>
    <col min="12047" max="12047" width="8.5" style="1" customWidth="1"/>
    <col min="12048" max="12048" width="11.5" style="1" customWidth="1"/>
    <col min="12049" max="12049" width="8.5" style="1" customWidth="1"/>
    <col min="12050" max="12050" width="8.1640625" style="1" customWidth="1"/>
    <col min="12051" max="12051" width="7.33203125" style="1" customWidth="1"/>
    <col min="12052" max="12052" width="7.5" style="1" customWidth="1"/>
    <col min="12053" max="12053" width="8" style="1" customWidth="1"/>
    <col min="12054" max="12054" width="9" style="1" customWidth="1"/>
    <col min="12055" max="12056" width="8" style="1" customWidth="1"/>
    <col min="12057" max="12057" width="7.33203125" style="1" customWidth="1"/>
    <col min="12058" max="12058" width="7.5" style="1" customWidth="1"/>
    <col min="12059" max="12059" width="10.5" style="1" customWidth="1"/>
    <col min="12060" max="12060" width="9" style="1" customWidth="1"/>
    <col min="12061" max="12061" width="2.33203125" style="1" customWidth="1"/>
    <col min="12062" max="12062" width="15.5" style="1" customWidth="1"/>
    <col min="12063" max="12063" width="8.5" style="1" customWidth="1"/>
    <col min="12064" max="12064" width="15" style="1" customWidth="1"/>
    <col min="12065" max="12069" width="8.83203125" style="1"/>
    <col min="12070" max="12070" width="17.1640625" style="1" customWidth="1"/>
    <col min="12071" max="12071" width="16" style="1" customWidth="1"/>
    <col min="12072" max="12072" width="9.6640625" style="1" customWidth="1"/>
    <col min="12073" max="12295" width="8.83203125" style="1"/>
    <col min="12296" max="12296" width="2.5" style="1" customWidth="1"/>
    <col min="12297" max="12297" width="2.33203125" style="1" customWidth="1"/>
    <col min="12298" max="12298" width="17.83203125" style="1" customWidth="1"/>
    <col min="12299" max="12299" width="10.5" style="1" customWidth="1"/>
    <col min="12300" max="12300" width="9" style="1" customWidth="1"/>
    <col min="12301" max="12301" width="8" style="1" customWidth="1"/>
    <col min="12302" max="12302" width="9" style="1" customWidth="1"/>
    <col min="12303" max="12303" width="8.5" style="1" customWidth="1"/>
    <col min="12304" max="12304" width="11.5" style="1" customWidth="1"/>
    <col min="12305" max="12305" width="8.5" style="1" customWidth="1"/>
    <col min="12306" max="12306" width="8.1640625" style="1" customWidth="1"/>
    <col min="12307" max="12307" width="7.33203125" style="1" customWidth="1"/>
    <col min="12308" max="12308" width="7.5" style="1" customWidth="1"/>
    <col min="12309" max="12309" width="8" style="1" customWidth="1"/>
    <col min="12310" max="12310" width="9" style="1" customWidth="1"/>
    <col min="12311" max="12312" width="8" style="1" customWidth="1"/>
    <col min="12313" max="12313" width="7.33203125" style="1" customWidth="1"/>
    <col min="12314" max="12314" width="7.5" style="1" customWidth="1"/>
    <col min="12315" max="12315" width="10.5" style="1" customWidth="1"/>
    <col min="12316" max="12316" width="9" style="1" customWidth="1"/>
    <col min="12317" max="12317" width="2.33203125" style="1" customWidth="1"/>
    <col min="12318" max="12318" width="15.5" style="1" customWidth="1"/>
    <col min="12319" max="12319" width="8.5" style="1" customWidth="1"/>
    <col min="12320" max="12320" width="15" style="1" customWidth="1"/>
    <col min="12321" max="12325" width="8.83203125" style="1"/>
    <col min="12326" max="12326" width="17.1640625" style="1" customWidth="1"/>
    <col min="12327" max="12327" width="16" style="1" customWidth="1"/>
    <col min="12328" max="12328" width="9.6640625" style="1" customWidth="1"/>
    <col min="12329" max="12551" width="8.83203125" style="1"/>
    <col min="12552" max="12552" width="2.5" style="1" customWidth="1"/>
    <col min="12553" max="12553" width="2.33203125" style="1" customWidth="1"/>
    <col min="12554" max="12554" width="17.83203125" style="1" customWidth="1"/>
    <col min="12555" max="12555" width="10.5" style="1" customWidth="1"/>
    <col min="12556" max="12556" width="9" style="1" customWidth="1"/>
    <col min="12557" max="12557" width="8" style="1" customWidth="1"/>
    <col min="12558" max="12558" width="9" style="1" customWidth="1"/>
    <col min="12559" max="12559" width="8.5" style="1" customWidth="1"/>
    <col min="12560" max="12560" width="11.5" style="1" customWidth="1"/>
    <col min="12561" max="12561" width="8.5" style="1" customWidth="1"/>
    <col min="12562" max="12562" width="8.1640625" style="1" customWidth="1"/>
    <col min="12563" max="12563" width="7.33203125" style="1" customWidth="1"/>
    <col min="12564" max="12564" width="7.5" style="1" customWidth="1"/>
    <col min="12565" max="12565" width="8" style="1" customWidth="1"/>
    <col min="12566" max="12566" width="9" style="1" customWidth="1"/>
    <col min="12567" max="12568" width="8" style="1" customWidth="1"/>
    <col min="12569" max="12569" width="7.33203125" style="1" customWidth="1"/>
    <col min="12570" max="12570" width="7.5" style="1" customWidth="1"/>
    <col min="12571" max="12571" width="10.5" style="1" customWidth="1"/>
    <col min="12572" max="12572" width="9" style="1" customWidth="1"/>
    <col min="12573" max="12573" width="2.33203125" style="1" customWidth="1"/>
    <col min="12574" max="12574" width="15.5" style="1" customWidth="1"/>
    <col min="12575" max="12575" width="8.5" style="1" customWidth="1"/>
    <col min="12576" max="12576" width="15" style="1" customWidth="1"/>
    <col min="12577" max="12581" width="8.83203125" style="1"/>
    <col min="12582" max="12582" width="17.1640625" style="1" customWidth="1"/>
    <col min="12583" max="12583" width="16" style="1" customWidth="1"/>
    <col min="12584" max="12584" width="9.6640625" style="1" customWidth="1"/>
    <col min="12585" max="12807" width="8.83203125" style="1"/>
    <col min="12808" max="12808" width="2.5" style="1" customWidth="1"/>
    <col min="12809" max="12809" width="2.33203125" style="1" customWidth="1"/>
    <col min="12810" max="12810" width="17.83203125" style="1" customWidth="1"/>
    <col min="12811" max="12811" width="10.5" style="1" customWidth="1"/>
    <col min="12812" max="12812" width="9" style="1" customWidth="1"/>
    <col min="12813" max="12813" width="8" style="1" customWidth="1"/>
    <col min="12814" max="12814" width="9" style="1" customWidth="1"/>
    <col min="12815" max="12815" width="8.5" style="1" customWidth="1"/>
    <col min="12816" max="12816" width="11.5" style="1" customWidth="1"/>
    <col min="12817" max="12817" width="8.5" style="1" customWidth="1"/>
    <col min="12818" max="12818" width="8.1640625" style="1" customWidth="1"/>
    <col min="12819" max="12819" width="7.33203125" style="1" customWidth="1"/>
    <col min="12820" max="12820" width="7.5" style="1" customWidth="1"/>
    <col min="12821" max="12821" width="8" style="1" customWidth="1"/>
    <col min="12822" max="12822" width="9" style="1" customWidth="1"/>
    <col min="12823" max="12824" width="8" style="1" customWidth="1"/>
    <col min="12825" max="12825" width="7.33203125" style="1" customWidth="1"/>
    <col min="12826" max="12826" width="7.5" style="1" customWidth="1"/>
    <col min="12827" max="12827" width="10.5" style="1" customWidth="1"/>
    <col min="12828" max="12828" width="9" style="1" customWidth="1"/>
    <col min="12829" max="12829" width="2.33203125" style="1" customWidth="1"/>
    <col min="12830" max="12830" width="15.5" style="1" customWidth="1"/>
    <col min="12831" max="12831" width="8.5" style="1" customWidth="1"/>
    <col min="12832" max="12832" width="15" style="1" customWidth="1"/>
    <col min="12833" max="12837" width="8.83203125" style="1"/>
    <col min="12838" max="12838" width="17.1640625" style="1" customWidth="1"/>
    <col min="12839" max="12839" width="16" style="1" customWidth="1"/>
    <col min="12840" max="12840" width="9.6640625" style="1" customWidth="1"/>
    <col min="12841" max="13063" width="8.83203125" style="1"/>
    <col min="13064" max="13064" width="2.5" style="1" customWidth="1"/>
    <col min="13065" max="13065" width="2.33203125" style="1" customWidth="1"/>
    <col min="13066" max="13066" width="17.83203125" style="1" customWidth="1"/>
    <col min="13067" max="13067" width="10.5" style="1" customWidth="1"/>
    <col min="13068" max="13068" width="9" style="1" customWidth="1"/>
    <col min="13069" max="13069" width="8" style="1" customWidth="1"/>
    <col min="13070" max="13070" width="9" style="1" customWidth="1"/>
    <col min="13071" max="13071" width="8.5" style="1" customWidth="1"/>
    <col min="13072" max="13072" width="11.5" style="1" customWidth="1"/>
    <col min="13073" max="13073" width="8.5" style="1" customWidth="1"/>
    <col min="13074" max="13074" width="8.1640625" style="1" customWidth="1"/>
    <col min="13075" max="13075" width="7.33203125" style="1" customWidth="1"/>
    <col min="13076" max="13076" width="7.5" style="1" customWidth="1"/>
    <col min="13077" max="13077" width="8" style="1" customWidth="1"/>
    <col min="13078" max="13078" width="9" style="1" customWidth="1"/>
    <col min="13079" max="13080" width="8" style="1" customWidth="1"/>
    <col min="13081" max="13081" width="7.33203125" style="1" customWidth="1"/>
    <col min="13082" max="13082" width="7.5" style="1" customWidth="1"/>
    <col min="13083" max="13083" width="10.5" style="1" customWidth="1"/>
    <col min="13084" max="13084" width="9" style="1" customWidth="1"/>
    <col min="13085" max="13085" width="2.33203125" style="1" customWidth="1"/>
    <col min="13086" max="13086" width="15.5" style="1" customWidth="1"/>
    <col min="13087" max="13087" width="8.5" style="1" customWidth="1"/>
    <col min="13088" max="13088" width="15" style="1" customWidth="1"/>
    <col min="13089" max="13093" width="8.83203125" style="1"/>
    <col min="13094" max="13094" width="17.1640625" style="1" customWidth="1"/>
    <col min="13095" max="13095" width="16" style="1" customWidth="1"/>
    <col min="13096" max="13096" width="9.6640625" style="1" customWidth="1"/>
    <col min="13097" max="13319" width="8.83203125" style="1"/>
    <col min="13320" max="13320" width="2.5" style="1" customWidth="1"/>
    <col min="13321" max="13321" width="2.33203125" style="1" customWidth="1"/>
    <col min="13322" max="13322" width="17.83203125" style="1" customWidth="1"/>
    <col min="13323" max="13323" width="10.5" style="1" customWidth="1"/>
    <col min="13324" max="13324" width="9" style="1" customWidth="1"/>
    <col min="13325" max="13325" width="8" style="1" customWidth="1"/>
    <col min="13326" max="13326" width="9" style="1" customWidth="1"/>
    <col min="13327" max="13327" width="8.5" style="1" customWidth="1"/>
    <col min="13328" max="13328" width="11.5" style="1" customWidth="1"/>
    <col min="13329" max="13329" width="8.5" style="1" customWidth="1"/>
    <col min="13330" max="13330" width="8.1640625" style="1" customWidth="1"/>
    <col min="13331" max="13331" width="7.33203125" style="1" customWidth="1"/>
    <col min="13332" max="13332" width="7.5" style="1" customWidth="1"/>
    <col min="13333" max="13333" width="8" style="1" customWidth="1"/>
    <col min="13334" max="13334" width="9" style="1" customWidth="1"/>
    <col min="13335" max="13336" width="8" style="1" customWidth="1"/>
    <col min="13337" max="13337" width="7.33203125" style="1" customWidth="1"/>
    <col min="13338" max="13338" width="7.5" style="1" customWidth="1"/>
    <col min="13339" max="13339" width="10.5" style="1" customWidth="1"/>
    <col min="13340" max="13340" width="9" style="1" customWidth="1"/>
    <col min="13341" max="13341" width="2.33203125" style="1" customWidth="1"/>
    <col min="13342" max="13342" width="15.5" style="1" customWidth="1"/>
    <col min="13343" max="13343" width="8.5" style="1" customWidth="1"/>
    <col min="13344" max="13344" width="15" style="1" customWidth="1"/>
    <col min="13345" max="13349" width="8.83203125" style="1"/>
    <col min="13350" max="13350" width="17.1640625" style="1" customWidth="1"/>
    <col min="13351" max="13351" width="16" style="1" customWidth="1"/>
    <col min="13352" max="13352" width="9.6640625" style="1" customWidth="1"/>
    <col min="13353" max="13575" width="8.83203125" style="1"/>
    <col min="13576" max="13576" width="2.5" style="1" customWidth="1"/>
    <col min="13577" max="13577" width="2.33203125" style="1" customWidth="1"/>
    <col min="13578" max="13578" width="17.83203125" style="1" customWidth="1"/>
    <col min="13579" max="13579" width="10.5" style="1" customWidth="1"/>
    <col min="13580" max="13580" width="9" style="1" customWidth="1"/>
    <col min="13581" max="13581" width="8" style="1" customWidth="1"/>
    <col min="13582" max="13582" width="9" style="1" customWidth="1"/>
    <col min="13583" max="13583" width="8.5" style="1" customWidth="1"/>
    <col min="13584" max="13584" width="11.5" style="1" customWidth="1"/>
    <col min="13585" max="13585" width="8.5" style="1" customWidth="1"/>
    <col min="13586" max="13586" width="8.1640625" style="1" customWidth="1"/>
    <col min="13587" max="13587" width="7.33203125" style="1" customWidth="1"/>
    <col min="13588" max="13588" width="7.5" style="1" customWidth="1"/>
    <col min="13589" max="13589" width="8" style="1" customWidth="1"/>
    <col min="13590" max="13590" width="9" style="1" customWidth="1"/>
    <col min="13591" max="13592" width="8" style="1" customWidth="1"/>
    <col min="13593" max="13593" width="7.33203125" style="1" customWidth="1"/>
    <col min="13594" max="13594" width="7.5" style="1" customWidth="1"/>
    <col min="13595" max="13595" width="10.5" style="1" customWidth="1"/>
    <col min="13596" max="13596" width="9" style="1" customWidth="1"/>
    <col min="13597" max="13597" width="2.33203125" style="1" customWidth="1"/>
    <col min="13598" max="13598" width="15.5" style="1" customWidth="1"/>
    <col min="13599" max="13599" width="8.5" style="1" customWidth="1"/>
    <col min="13600" max="13600" width="15" style="1" customWidth="1"/>
    <col min="13601" max="13605" width="8.83203125" style="1"/>
    <col min="13606" max="13606" width="17.1640625" style="1" customWidth="1"/>
    <col min="13607" max="13607" width="16" style="1" customWidth="1"/>
    <col min="13608" max="13608" width="9.6640625" style="1" customWidth="1"/>
    <col min="13609" max="13831" width="8.83203125" style="1"/>
    <col min="13832" max="13832" width="2.5" style="1" customWidth="1"/>
    <col min="13833" max="13833" width="2.33203125" style="1" customWidth="1"/>
    <col min="13834" max="13834" width="17.83203125" style="1" customWidth="1"/>
    <col min="13835" max="13835" width="10.5" style="1" customWidth="1"/>
    <col min="13836" max="13836" width="9" style="1" customWidth="1"/>
    <col min="13837" max="13837" width="8" style="1" customWidth="1"/>
    <col min="13838" max="13838" width="9" style="1" customWidth="1"/>
    <col min="13839" max="13839" width="8.5" style="1" customWidth="1"/>
    <col min="13840" max="13840" width="11.5" style="1" customWidth="1"/>
    <col min="13841" max="13841" width="8.5" style="1" customWidth="1"/>
    <col min="13842" max="13842" width="8.1640625" style="1" customWidth="1"/>
    <col min="13843" max="13843" width="7.33203125" style="1" customWidth="1"/>
    <col min="13844" max="13844" width="7.5" style="1" customWidth="1"/>
    <col min="13845" max="13845" width="8" style="1" customWidth="1"/>
    <col min="13846" max="13846" width="9" style="1" customWidth="1"/>
    <col min="13847" max="13848" width="8" style="1" customWidth="1"/>
    <col min="13849" max="13849" width="7.33203125" style="1" customWidth="1"/>
    <col min="13850" max="13850" width="7.5" style="1" customWidth="1"/>
    <col min="13851" max="13851" width="10.5" style="1" customWidth="1"/>
    <col min="13852" max="13852" width="9" style="1" customWidth="1"/>
    <col min="13853" max="13853" width="2.33203125" style="1" customWidth="1"/>
    <col min="13854" max="13854" width="15.5" style="1" customWidth="1"/>
    <col min="13855" max="13855" width="8.5" style="1" customWidth="1"/>
    <col min="13856" max="13856" width="15" style="1" customWidth="1"/>
    <col min="13857" max="13861" width="8.83203125" style="1"/>
    <col min="13862" max="13862" width="17.1640625" style="1" customWidth="1"/>
    <col min="13863" max="13863" width="16" style="1" customWidth="1"/>
    <col min="13864" max="13864" width="9.6640625" style="1" customWidth="1"/>
    <col min="13865" max="14087" width="8.83203125" style="1"/>
    <col min="14088" max="14088" width="2.5" style="1" customWidth="1"/>
    <col min="14089" max="14089" width="2.33203125" style="1" customWidth="1"/>
    <col min="14090" max="14090" width="17.83203125" style="1" customWidth="1"/>
    <col min="14091" max="14091" width="10.5" style="1" customWidth="1"/>
    <col min="14092" max="14092" width="9" style="1" customWidth="1"/>
    <col min="14093" max="14093" width="8" style="1" customWidth="1"/>
    <col min="14094" max="14094" width="9" style="1" customWidth="1"/>
    <col min="14095" max="14095" width="8.5" style="1" customWidth="1"/>
    <col min="14096" max="14096" width="11.5" style="1" customWidth="1"/>
    <col min="14097" max="14097" width="8.5" style="1" customWidth="1"/>
    <col min="14098" max="14098" width="8.1640625" style="1" customWidth="1"/>
    <col min="14099" max="14099" width="7.33203125" style="1" customWidth="1"/>
    <col min="14100" max="14100" width="7.5" style="1" customWidth="1"/>
    <col min="14101" max="14101" width="8" style="1" customWidth="1"/>
    <col min="14102" max="14102" width="9" style="1" customWidth="1"/>
    <col min="14103" max="14104" width="8" style="1" customWidth="1"/>
    <col min="14105" max="14105" width="7.33203125" style="1" customWidth="1"/>
    <col min="14106" max="14106" width="7.5" style="1" customWidth="1"/>
    <col min="14107" max="14107" width="10.5" style="1" customWidth="1"/>
    <col min="14108" max="14108" width="9" style="1" customWidth="1"/>
    <col min="14109" max="14109" width="2.33203125" style="1" customWidth="1"/>
    <col min="14110" max="14110" width="15.5" style="1" customWidth="1"/>
    <col min="14111" max="14111" width="8.5" style="1" customWidth="1"/>
    <col min="14112" max="14112" width="15" style="1" customWidth="1"/>
    <col min="14113" max="14117" width="8.83203125" style="1"/>
    <col min="14118" max="14118" width="17.1640625" style="1" customWidth="1"/>
    <col min="14119" max="14119" width="16" style="1" customWidth="1"/>
    <col min="14120" max="14120" width="9.6640625" style="1" customWidth="1"/>
    <col min="14121" max="14343" width="8.83203125" style="1"/>
    <col min="14344" max="14344" width="2.5" style="1" customWidth="1"/>
    <col min="14345" max="14345" width="2.33203125" style="1" customWidth="1"/>
    <col min="14346" max="14346" width="17.83203125" style="1" customWidth="1"/>
    <col min="14347" max="14347" width="10.5" style="1" customWidth="1"/>
    <col min="14348" max="14348" width="9" style="1" customWidth="1"/>
    <col min="14349" max="14349" width="8" style="1" customWidth="1"/>
    <col min="14350" max="14350" width="9" style="1" customWidth="1"/>
    <col min="14351" max="14351" width="8.5" style="1" customWidth="1"/>
    <col min="14352" max="14352" width="11.5" style="1" customWidth="1"/>
    <col min="14353" max="14353" width="8.5" style="1" customWidth="1"/>
    <col min="14354" max="14354" width="8.1640625" style="1" customWidth="1"/>
    <col min="14355" max="14355" width="7.33203125" style="1" customWidth="1"/>
    <col min="14356" max="14356" width="7.5" style="1" customWidth="1"/>
    <col min="14357" max="14357" width="8" style="1" customWidth="1"/>
    <col min="14358" max="14358" width="9" style="1" customWidth="1"/>
    <col min="14359" max="14360" width="8" style="1" customWidth="1"/>
    <col min="14361" max="14361" width="7.33203125" style="1" customWidth="1"/>
    <col min="14362" max="14362" width="7.5" style="1" customWidth="1"/>
    <col min="14363" max="14363" width="10.5" style="1" customWidth="1"/>
    <col min="14364" max="14364" width="9" style="1" customWidth="1"/>
    <col min="14365" max="14365" width="2.33203125" style="1" customWidth="1"/>
    <col min="14366" max="14366" width="15.5" style="1" customWidth="1"/>
    <col min="14367" max="14367" width="8.5" style="1" customWidth="1"/>
    <col min="14368" max="14368" width="15" style="1" customWidth="1"/>
    <col min="14369" max="14373" width="8.83203125" style="1"/>
    <col min="14374" max="14374" width="17.1640625" style="1" customWidth="1"/>
    <col min="14375" max="14375" width="16" style="1" customWidth="1"/>
    <col min="14376" max="14376" width="9.6640625" style="1" customWidth="1"/>
    <col min="14377" max="14599" width="8.83203125" style="1"/>
    <col min="14600" max="14600" width="2.5" style="1" customWidth="1"/>
    <col min="14601" max="14601" width="2.33203125" style="1" customWidth="1"/>
    <col min="14602" max="14602" width="17.83203125" style="1" customWidth="1"/>
    <col min="14603" max="14603" width="10.5" style="1" customWidth="1"/>
    <col min="14604" max="14604" width="9" style="1" customWidth="1"/>
    <col min="14605" max="14605" width="8" style="1" customWidth="1"/>
    <col min="14606" max="14606" width="9" style="1" customWidth="1"/>
    <col min="14607" max="14607" width="8.5" style="1" customWidth="1"/>
    <col min="14608" max="14608" width="11.5" style="1" customWidth="1"/>
    <col min="14609" max="14609" width="8.5" style="1" customWidth="1"/>
    <col min="14610" max="14610" width="8.1640625" style="1" customWidth="1"/>
    <col min="14611" max="14611" width="7.33203125" style="1" customWidth="1"/>
    <col min="14612" max="14612" width="7.5" style="1" customWidth="1"/>
    <col min="14613" max="14613" width="8" style="1" customWidth="1"/>
    <col min="14614" max="14614" width="9" style="1" customWidth="1"/>
    <col min="14615" max="14616" width="8" style="1" customWidth="1"/>
    <col min="14617" max="14617" width="7.33203125" style="1" customWidth="1"/>
    <col min="14618" max="14618" width="7.5" style="1" customWidth="1"/>
    <col min="14619" max="14619" width="10.5" style="1" customWidth="1"/>
    <col min="14620" max="14620" width="9" style="1" customWidth="1"/>
    <col min="14621" max="14621" width="2.33203125" style="1" customWidth="1"/>
    <col min="14622" max="14622" width="15.5" style="1" customWidth="1"/>
    <col min="14623" max="14623" width="8.5" style="1" customWidth="1"/>
    <col min="14624" max="14624" width="15" style="1" customWidth="1"/>
    <col min="14625" max="14629" width="8.83203125" style="1"/>
    <col min="14630" max="14630" width="17.1640625" style="1" customWidth="1"/>
    <col min="14631" max="14631" width="16" style="1" customWidth="1"/>
    <col min="14632" max="14632" width="9.6640625" style="1" customWidth="1"/>
    <col min="14633" max="14855" width="8.83203125" style="1"/>
    <col min="14856" max="14856" width="2.5" style="1" customWidth="1"/>
    <col min="14857" max="14857" width="2.33203125" style="1" customWidth="1"/>
    <col min="14858" max="14858" width="17.83203125" style="1" customWidth="1"/>
    <col min="14859" max="14859" width="10.5" style="1" customWidth="1"/>
    <col min="14860" max="14860" width="9" style="1" customWidth="1"/>
    <col min="14861" max="14861" width="8" style="1" customWidth="1"/>
    <col min="14862" max="14862" width="9" style="1" customWidth="1"/>
    <col min="14863" max="14863" width="8.5" style="1" customWidth="1"/>
    <col min="14864" max="14864" width="11.5" style="1" customWidth="1"/>
    <col min="14865" max="14865" width="8.5" style="1" customWidth="1"/>
    <col min="14866" max="14866" width="8.1640625" style="1" customWidth="1"/>
    <col min="14867" max="14867" width="7.33203125" style="1" customWidth="1"/>
    <col min="14868" max="14868" width="7.5" style="1" customWidth="1"/>
    <col min="14869" max="14869" width="8" style="1" customWidth="1"/>
    <col min="14870" max="14870" width="9" style="1" customWidth="1"/>
    <col min="14871" max="14872" width="8" style="1" customWidth="1"/>
    <col min="14873" max="14873" width="7.33203125" style="1" customWidth="1"/>
    <col min="14874" max="14874" width="7.5" style="1" customWidth="1"/>
    <col min="14875" max="14875" width="10.5" style="1" customWidth="1"/>
    <col min="14876" max="14876" width="9" style="1" customWidth="1"/>
    <col min="14877" max="14877" width="2.33203125" style="1" customWidth="1"/>
    <col min="14878" max="14878" width="15.5" style="1" customWidth="1"/>
    <col min="14879" max="14879" width="8.5" style="1" customWidth="1"/>
    <col min="14880" max="14880" width="15" style="1" customWidth="1"/>
    <col min="14881" max="14885" width="8.83203125" style="1"/>
    <col min="14886" max="14886" width="17.1640625" style="1" customWidth="1"/>
    <col min="14887" max="14887" width="16" style="1" customWidth="1"/>
    <col min="14888" max="14888" width="9.6640625" style="1" customWidth="1"/>
    <col min="14889" max="15111" width="8.83203125" style="1"/>
    <col min="15112" max="15112" width="2.5" style="1" customWidth="1"/>
    <col min="15113" max="15113" width="2.33203125" style="1" customWidth="1"/>
    <col min="15114" max="15114" width="17.83203125" style="1" customWidth="1"/>
    <col min="15115" max="15115" width="10.5" style="1" customWidth="1"/>
    <col min="15116" max="15116" width="9" style="1" customWidth="1"/>
    <col min="15117" max="15117" width="8" style="1" customWidth="1"/>
    <col min="15118" max="15118" width="9" style="1" customWidth="1"/>
    <col min="15119" max="15119" width="8.5" style="1" customWidth="1"/>
    <col min="15120" max="15120" width="11.5" style="1" customWidth="1"/>
    <col min="15121" max="15121" width="8.5" style="1" customWidth="1"/>
    <col min="15122" max="15122" width="8.1640625" style="1" customWidth="1"/>
    <col min="15123" max="15123" width="7.33203125" style="1" customWidth="1"/>
    <col min="15124" max="15124" width="7.5" style="1" customWidth="1"/>
    <col min="15125" max="15125" width="8" style="1" customWidth="1"/>
    <col min="15126" max="15126" width="9" style="1" customWidth="1"/>
    <col min="15127" max="15128" width="8" style="1" customWidth="1"/>
    <col min="15129" max="15129" width="7.33203125" style="1" customWidth="1"/>
    <col min="15130" max="15130" width="7.5" style="1" customWidth="1"/>
    <col min="15131" max="15131" width="10.5" style="1" customWidth="1"/>
    <col min="15132" max="15132" width="9" style="1" customWidth="1"/>
    <col min="15133" max="15133" width="2.33203125" style="1" customWidth="1"/>
    <col min="15134" max="15134" width="15.5" style="1" customWidth="1"/>
    <col min="15135" max="15135" width="8.5" style="1" customWidth="1"/>
    <col min="15136" max="15136" width="15" style="1" customWidth="1"/>
    <col min="15137" max="15141" width="8.83203125" style="1"/>
    <col min="15142" max="15142" width="17.1640625" style="1" customWidth="1"/>
    <col min="15143" max="15143" width="16" style="1" customWidth="1"/>
    <col min="15144" max="15144" width="9.6640625" style="1" customWidth="1"/>
    <col min="15145" max="15367" width="8.83203125" style="1"/>
    <col min="15368" max="15368" width="2.5" style="1" customWidth="1"/>
    <col min="15369" max="15369" width="2.33203125" style="1" customWidth="1"/>
    <col min="15370" max="15370" width="17.83203125" style="1" customWidth="1"/>
    <col min="15371" max="15371" width="10.5" style="1" customWidth="1"/>
    <col min="15372" max="15372" width="9" style="1" customWidth="1"/>
    <col min="15373" max="15373" width="8" style="1" customWidth="1"/>
    <col min="15374" max="15374" width="9" style="1" customWidth="1"/>
    <col min="15375" max="15375" width="8.5" style="1" customWidth="1"/>
    <col min="15376" max="15376" width="11.5" style="1" customWidth="1"/>
    <col min="15377" max="15377" width="8.5" style="1" customWidth="1"/>
    <col min="15378" max="15378" width="8.1640625" style="1" customWidth="1"/>
    <col min="15379" max="15379" width="7.33203125" style="1" customWidth="1"/>
    <col min="15380" max="15380" width="7.5" style="1" customWidth="1"/>
    <col min="15381" max="15381" width="8" style="1" customWidth="1"/>
    <col min="15382" max="15382" width="9" style="1" customWidth="1"/>
    <col min="15383" max="15384" width="8" style="1" customWidth="1"/>
    <col min="15385" max="15385" width="7.33203125" style="1" customWidth="1"/>
    <col min="15386" max="15386" width="7.5" style="1" customWidth="1"/>
    <col min="15387" max="15387" width="10.5" style="1" customWidth="1"/>
    <col min="15388" max="15388" width="9" style="1" customWidth="1"/>
    <col min="15389" max="15389" width="2.33203125" style="1" customWidth="1"/>
    <col min="15390" max="15390" width="15.5" style="1" customWidth="1"/>
    <col min="15391" max="15391" width="8.5" style="1" customWidth="1"/>
    <col min="15392" max="15392" width="15" style="1" customWidth="1"/>
    <col min="15393" max="15397" width="8.83203125" style="1"/>
    <col min="15398" max="15398" width="17.1640625" style="1" customWidth="1"/>
    <col min="15399" max="15399" width="16" style="1" customWidth="1"/>
    <col min="15400" max="15400" width="9.6640625" style="1" customWidth="1"/>
    <col min="15401" max="15623" width="8.83203125" style="1"/>
    <col min="15624" max="15624" width="2.5" style="1" customWidth="1"/>
    <col min="15625" max="15625" width="2.33203125" style="1" customWidth="1"/>
    <col min="15626" max="15626" width="17.83203125" style="1" customWidth="1"/>
    <col min="15627" max="15627" width="10.5" style="1" customWidth="1"/>
    <col min="15628" max="15628" width="9" style="1" customWidth="1"/>
    <col min="15629" max="15629" width="8" style="1" customWidth="1"/>
    <col min="15630" max="15630" width="9" style="1" customWidth="1"/>
    <col min="15631" max="15631" width="8.5" style="1" customWidth="1"/>
    <col min="15632" max="15632" width="11.5" style="1" customWidth="1"/>
    <col min="15633" max="15633" width="8.5" style="1" customWidth="1"/>
    <col min="15634" max="15634" width="8.1640625" style="1" customWidth="1"/>
    <col min="15635" max="15635" width="7.33203125" style="1" customWidth="1"/>
    <col min="15636" max="15636" width="7.5" style="1" customWidth="1"/>
    <col min="15637" max="15637" width="8" style="1" customWidth="1"/>
    <col min="15638" max="15638" width="9" style="1" customWidth="1"/>
    <col min="15639" max="15640" width="8" style="1" customWidth="1"/>
    <col min="15641" max="15641" width="7.33203125" style="1" customWidth="1"/>
    <col min="15642" max="15642" width="7.5" style="1" customWidth="1"/>
    <col min="15643" max="15643" width="10.5" style="1" customWidth="1"/>
    <col min="15644" max="15644" width="9" style="1" customWidth="1"/>
    <col min="15645" max="15645" width="2.33203125" style="1" customWidth="1"/>
    <col min="15646" max="15646" width="15.5" style="1" customWidth="1"/>
    <col min="15647" max="15647" width="8.5" style="1" customWidth="1"/>
    <col min="15648" max="15648" width="15" style="1" customWidth="1"/>
    <col min="15649" max="15653" width="8.83203125" style="1"/>
    <col min="15654" max="15654" width="17.1640625" style="1" customWidth="1"/>
    <col min="15655" max="15655" width="16" style="1" customWidth="1"/>
    <col min="15656" max="15656" width="9.6640625" style="1" customWidth="1"/>
    <col min="15657" max="15879" width="8.83203125" style="1"/>
    <col min="15880" max="15880" width="2.5" style="1" customWidth="1"/>
    <col min="15881" max="15881" width="2.33203125" style="1" customWidth="1"/>
    <col min="15882" max="15882" width="17.83203125" style="1" customWidth="1"/>
    <col min="15883" max="15883" width="10.5" style="1" customWidth="1"/>
    <col min="15884" max="15884" width="9" style="1" customWidth="1"/>
    <col min="15885" max="15885" width="8" style="1" customWidth="1"/>
    <col min="15886" max="15886" width="9" style="1" customWidth="1"/>
    <col min="15887" max="15887" width="8.5" style="1" customWidth="1"/>
    <col min="15888" max="15888" width="11.5" style="1" customWidth="1"/>
    <col min="15889" max="15889" width="8.5" style="1" customWidth="1"/>
    <col min="15890" max="15890" width="8.1640625" style="1" customWidth="1"/>
    <col min="15891" max="15891" width="7.33203125" style="1" customWidth="1"/>
    <col min="15892" max="15892" width="7.5" style="1" customWidth="1"/>
    <col min="15893" max="15893" width="8" style="1" customWidth="1"/>
    <col min="15894" max="15894" width="9" style="1" customWidth="1"/>
    <col min="15895" max="15896" width="8" style="1" customWidth="1"/>
    <col min="15897" max="15897" width="7.33203125" style="1" customWidth="1"/>
    <col min="15898" max="15898" width="7.5" style="1" customWidth="1"/>
    <col min="15899" max="15899" width="10.5" style="1" customWidth="1"/>
    <col min="15900" max="15900" width="9" style="1" customWidth="1"/>
    <col min="15901" max="15901" width="2.33203125" style="1" customWidth="1"/>
    <col min="15902" max="15902" width="15.5" style="1" customWidth="1"/>
    <col min="15903" max="15903" width="8.5" style="1" customWidth="1"/>
    <col min="15904" max="15904" width="15" style="1" customWidth="1"/>
    <col min="15905" max="15909" width="8.83203125" style="1"/>
    <col min="15910" max="15910" width="17.1640625" style="1" customWidth="1"/>
    <col min="15911" max="15911" width="16" style="1" customWidth="1"/>
    <col min="15912" max="15912" width="9.6640625" style="1" customWidth="1"/>
    <col min="15913" max="16135" width="8.83203125" style="1"/>
    <col min="16136" max="16136" width="2.5" style="1" customWidth="1"/>
    <col min="16137" max="16137" width="2.33203125" style="1" customWidth="1"/>
    <col min="16138" max="16138" width="17.83203125" style="1" customWidth="1"/>
    <col min="16139" max="16139" width="10.5" style="1" customWidth="1"/>
    <col min="16140" max="16140" width="9" style="1" customWidth="1"/>
    <col min="16141" max="16141" width="8" style="1" customWidth="1"/>
    <col min="16142" max="16142" width="9" style="1" customWidth="1"/>
    <col min="16143" max="16143" width="8.5" style="1" customWidth="1"/>
    <col min="16144" max="16144" width="11.5" style="1" customWidth="1"/>
    <col min="16145" max="16145" width="8.5" style="1" customWidth="1"/>
    <col min="16146" max="16146" width="8.1640625" style="1" customWidth="1"/>
    <col min="16147" max="16147" width="7.33203125" style="1" customWidth="1"/>
    <col min="16148" max="16148" width="7.5" style="1" customWidth="1"/>
    <col min="16149" max="16149" width="8" style="1" customWidth="1"/>
    <col min="16150" max="16150" width="9" style="1" customWidth="1"/>
    <col min="16151" max="16152" width="8" style="1" customWidth="1"/>
    <col min="16153" max="16153" width="7.33203125" style="1" customWidth="1"/>
    <col min="16154" max="16154" width="7.5" style="1" customWidth="1"/>
    <col min="16155" max="16155" width="10.5" style="1" customWidth="1"/>
    <col min="16156" max="16156" width="9" style="1" customWidth="1"/>
    <col min="16157" max="16157" width="2.33203125" style="1" customWidth="1"/>
    <col min="16158" max="16158" width="15.5" style="1" customWidth="1"/>
    <col min="16159" max="16159" width="8.5" style="1" customWidth="1"/>
    <col min="16160" max="16160" width="15" style="1" customWidth="1"/>
    <col min="16161" max="16165" width="8.83203125" style="1"/>
    <col min="16166" max="16166" width="17.1640625" style="1" customWidth="1"/>
    <col min="16167" max="16167" width="16" style="1" customWidth="1"/>
    <col min="16168" max="16168" width="9.6640625" style="1" customWidth="1"/>
    <col min="16169" max="16384" width="8.83203125" style="1"/>
  </cols>
  <sheetData>
    <row r="2" spans="1:38" ht="15" x14ac:dyDescent="0.15">
      <c r="C2" s="208"/>
      <c r="D2" s="209"/>
    </row>
    <row r="3" spans="1:38" ht="14" thickBot="1" x14ac:dyDescent="0.2">
      <c r="B3" s="184">
        <v>2.5</v>
      </c>
      <c r="C3" s="9">
        <v>26</v>
      </c>
      <c r="D3" s="9">
        <v>11</v>
      </c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4">
        <v>2.5</v>
      </c>
      <c r="W3" s="9"/>
      <c r="X3" s="9"/>
      <c r="Y3" s="9"/>
      <c r="Z3" s="9"/>
      <c r="AA3" s="9"/>
      <c r="AB3" s="9"/>
      <c r="AC3" s="9"/>
      <c r="AD3" s="9"/>
      <c r="AE3" s="9"/>
      <c r="AF3" s="184"/>
    </row>
    <row r="4" spans="1:38" ht="11.5" customHeight="1" x14ac:dyDescent="0.15">
      <c r="B4" s="69"/>
      <c r="C4" s="79"/>
      <c r="D4" s="80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2"/>
    </row>
    <row r="5" spans="1:38" ht="11.5" customHeight="1" x14ac:dyDescent="0.15">
      <c r="B5" s="72"/>
      <c r="C5" s="83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254" t="s">
        <v>459</v>
      </c>
      <c r="V5" s="75"/>
    </row>
    <row r="6" spans="1:38" ht="11.5" customHeight="1" x14ac:dyDescent="0.15">
      <c r="B6" s="72"/>
      <c r="C6" s="83"/>
      <c r="D6" s="85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75"/>
    </row>
    <row r="7" spans="1:38" ht="11.5" customHeight="1" x14ac:dyDescent="0.15">
      <c r="B7" s="72"/>
      <c r="C7" s="83"/>
      <c r="D7" s="77" t="s">
        <v>458</v>
      </c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7"/>
      <c r="V7" s="75"/>
    </row>
    <row r="8" spans="1:38" ht="11.5" customHeight="1" x14ac:dyDescent="0.15">
      <c r="A8" s="2"/>
      <c r="B8" s="72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75"/>
    </row>
    <row r="9" spans="1:38" ht="14.5" customHeight="1" thickBot="1" x14ac:dyDescent="0.2">
      <c r="B9" s="2"/>
      <c r="C9" s="210" t="s">
        <v>401</v>
      </c>
      <c r="D9" s="211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3" t="s">
        <v>396</v>
      </c>
      <c r="V9" s="22"/>
    </row>
    <row r="10" spans="1:38" ht="14" customHeight="1" thickBot="1" x14ac:dyDescent="0.2">
      <c r="B10" s="2"/>
      <c r="C10" s="482" t="s">
        <v>397</v>
      </c>
      <c r="D10" s="482" t="s">
        <v>68</v>
      </c>
      <c r="E10" s="482" t="s">
        <v>363</v>
      </c>
      <c r="F10" s="482" t="s">
        <v>374</v>
      </c>
      <c r="G10" s="482" t="s">
        <v>0</v>
      </c>
      <c r="H10" s="484" t="s">
        <v>7</v>
      </c>
      <c r="I10" s="484"/>
      <c r="J10" s="484"/>
      <c r="K10" s="484"/>
      <c r="L10" s="484"/>
      <c r="M10" s="484"/>
      <c r="N10" s="484"/>
      <c r="O10" s="482" t="s">
        <v>66</v>
      </c>
      <c r="P10" s="482" t="s">
        <v>40</v>
      </c>
      <c r="Q10" s="482" t="s">
        <v>360</v>
      </c>
      <c r="R10" s="482" t="s">
        <v>361</v>
      </c>
      <c r="S10" s="482" t="s">
        <v>362</v>
      </c>
      <c r="T10" s="482" t="s">
        <v>44</v>
      </c>
      <c r="U10" s="482" t="s">
        <v>46</v>
      </c>
      <c r="V10" s="22"/>
      <c r="W10" s="1" t="s">
        <v>569</v>
      </c>
      <c r="AA10" s="1" t="s">
        <v>570</v>
      </c>
    </row>
    <row r="11" spans="1:38" ht="32" customHeight="1" thickBot="1" x14ac:dyDescent="0.2">
      <c r="B11" s="2"/>
      <c r="C11" s="483"/>
      <c r="D11" s="483"/>
      <c r="E11" s="483"/>
      <c r="F11" s="483"/>
      <c r="G11" s="483"/>
      <c r="H11" s="214" t="s">
        <v>393</v>
      </c>
      <c r="I11" s="214" t="s">
        <v>2</v>
      </c>
      <c r="J11" s="214" t="s">
        <v>3</v>
      </c>
      <c r="K11" s="214" t="s">
        <v>4</v>
      </c>
      <c r="L11" s="214" t="s">
        <v>5</v>
      </c>
      <c r="M11" s="214" t="s">
        <v>67</v>
      </c>
      <c r="N11" s="214" t="s">
        <v>6</v>
      </c>
      <c r="O11" s="483"/>
      <c r="P11" s="483"/>
      <c r="Q11" s="483"/>
      <c r="R11" s="483"/>
      <c r="S11" s="483"/>
      <c r="T11" s="483"/>
      <c r="U11" s="483"/>
      <c r="V11" s="22"/>
      <c r="W11" s="1" t="s">
        <v>571</v>
      </c>
      <c r="X11" s="1" t="s">
        <v>572</v>
      </c>
      <c r="Y11" s="1" t="s">
        <v>573</v>
      </c>
      <c r="AA11" s="1" t="s">
        <v>571</v>
      </c>
      <c r="AB11" s="1" t="s">
        <v>573</v>
      </c>
      <c r="AC11" s="1" t="s">
        <v>574</v>
      </c>
      <c r="AF11" s="1" t="s">
        <v>520</v>
      </c>
      <c r="AH11" s="1" t="s">
        <v>523</v>
      </c>
      <c r="AJ11" s="408" t="s">
        <v>519</v>
      </c>
      <c r="AL11" s="408" t="s">
        <v>522</v>
      </c>
    </row>
    <row r="12" spans="1:38" ht="14.5" customHeight="1" x14ac:dyDescent="0.15">
      <c r="B12" s="2"/>
      <c r="C12" s="215" t="s">
        <v>380</v>
      </c>
      <c r="D12" s="304">
        <v>1268688</v>
      </c>
      <c r="E12" s="305">
        <v>209.84126642000001</v>
      </c>
      <c r="F12" s="305">
        <v>34.971421769999999</v>
      </c>
      <c r="G12" s="305">
        <v>64.808457729999986</v>
      </c>
      <c r="H12" s="217">
        <v>31.09505905</v>
      </c>
      <c r="I12" s="217">
        <v>140.77945715999999</v>
      </c>
      <c r="J12" s="217">
        <v>13.25903192</v>
      </c>
      <c r="K12" s="217">
        <v>47.933465380000001</v>
      </c>
      <c r="L12" s="217">
        <v>5.429146E-2</v>
      </c>
      <c r="M12" s="217">
        <v>19.997503930000001</v>
      </c>
      <c r="N12" s="217">
        <v>23.127539869999993</v>
      </c>
      <c r="O12" s="217">
        <v>168.98711556000001</v>
      </c>
      <c r="P12" s="217">
        <v>3.2488089999999997E-2</v>
      </c>
      <c r="Q12" s="217">
        <v>11.32690099</v>
      </c>
      <c r="R12" s="217">
        <v>2.2966599999999998E-3</v>
      </c>
      <c r="S12" s="217">
        <v>11.9020098</v>
      </c>
      <c r="T12" s="217">
        <v>91710.704227560011</v>
      </c>
      <c r="U12" s="217">
        <v>7663.4650582599998</v>
      </c>
      <c r="V12" s="88">
        <v>0</v>
      </c>
      <c r="W12" s="464">
        <f t="shared" ref="W12:W15" si="0">F12*(W13/F13)</f>
        <v>29.787862885308968</v>
      </c>
      <c r="X12" s="78">
        <f>W12</f>
        <v>29.787862885308968</v>
      </c>
      <c r="Y12" s="78">
        <f>F12-X12</f>
        <v>5.1835588846910312</v>
      </c>
      <c r="AA12" s="78">
        <f>X12*(1+P12/O12)</f>
        <v>29.793589657833127</v>
      </c>
      <c r="AB12" s="78">
        <f>Y12/0.85</f>
        <v>6.0983045702247427</v>
      </c>
      <c r="AC12" s="78">
        <f>AA12+AB12</f>
        <v>35.891894228057872</v>
      </c>
      <c r="AF12" s="1">
        <f>(P49_T20_nontaxable!D$23+P49_T20_nontaxable!D$36+P49_T20_nontaxable!D$27)*1000*(P14_P15_T9!G12/P14_P15_T9!G$23)</f>
        <v>7.7280263832645808</v>
      </c>
      <c r="AH12" s="1">
        <f>('P48_T19_taxed excl '!D$16+'P48_T19_taxed excl '!D$19+'P48_T19_taxed excl '!D$21)*1000*(P14_P15_T9!F12/P14_P15_T9!F$23)</f>
        <v>7.2118912341923052</v>
      </c>
      <c r="AJ12" s="411">
        <f>(E12+F12+G12-L12-AF12)*1000</f>
        <v>301838.82807673543</v>
      </c>
      <c r="AL12" s="411">
        <f>AJ12-AH12</f>
        <v>301831.61618550122</v>
      </c>
    </row>
    <row r="13" spans="1:38" ht="14.5" customHeight="1" x14ac:dyDescent="0.15">
      <c r="B13" s="2"/>
      <c r="C13" s="220" t="s">
        <v>381</v>
      </c>
      <c r="D13" s="306">
        <v>518341</v>
      </c>
      <c r="E13" s="307">
        <v>3570.93204711</v>
      </c>
      <c r="F13" s="307">
        <v>70.465600039999998</v>
      </c>
      <c r="G13" s="307">
        <v>214.95198968</v>
      </c>
      <c r="H13" s="222">
        <v>101.81808916999999</v>
      </c>
      <c r="I13" s="222">
        <v>67.231327559999997</v>
      </c>
      <c r="J13" s="222">
        <v>9.4350851899999988</v>
      </c>
      <c r="K13" s="222">
        <v>28.652667829999999</v>
      </c>
      <c r="L13" s="222">
        <v>0.33991053000000004</v>
      </c>
      <c r="M13" s="222">
        <v>5.4350513099999995</v>
      </c>
      <c r="N13" s="222">
        <v>472.49896712000003</v>
      </c>
      <c r="O13" s="222">
        <v>2934.1175914800006</v>
      </c>
      <c r="P13" s="222">
        <v>5.6942090000000001E-2</v>
      </c>
      <c r="Q13" s="222">
        <v>11.295647670000001</v>
      </c>
      <c r="R13" s="222">
        <v>2.4759419999999997E-2</v>
      </c>
      <c r="S13" s="222">
        <v>11.41301112</v>
      </c>
      <c r="T13" s="222">
        <v>28847.878026270002</v>
      </c>
      <c r="U13" s="222">
        <v>2846.02223177</v>
      </c>
      <c r="V13" s="88">
        <v>1</v>
      </c>
      <c r="W13" s="464">
        <f t="shared" si="0"/>
        <v>60.02099788585582</v>
      </c>
      <c r="X13" s="78">
        <f t="shared" ref="X13:X16" si="1">W13</f>
        <v>60.02099788585582</v>
      </c>
      <c r="Y13" s="78">
        <f t="shared" ref="Y13:Y22" si="2">F13-X13</f>
        <v>10.444602154144178</v>
      </c>
      <c r="AA13" s="78">
        <f t="shared" ref="AA13:AA22" si="3">X13*(1+P13/O13)</f>
        <v>60.022162706609237</v>
      </c>
      <c r="AB13" s="78">
        <f t="shared" ref="AB13:AB22" si="4">Y13/0.85</f>
        <v>12.287767240169622</v>
      </c>
      <c r="AC13" s="78">
        <f t="shared" ref="AC13:AC23" si="5">AA13+AB13</f>
        <v>72.309929946778851</v>
      </c>
      <c r="AF13" s="1">
        <f>(P49_T20_nontaxable!D$23+P49_T20_nontaxable!D$36+P49_T20_nontaxable!D$27)*1000*(P14_P15_T9!G13/P14_P15_T9!G$23)</f>
        <v>25.631757112672403</v>
      </c>
      <c r="AH13" s="1">
        <f>('P48_T19_taxed excl '!D$16+'P48_T19_taxed excl '!D$19+'P48_T19_taxed excl '!D$21)*1000*(P14_P15_T9!F13/P14_P15_T9!F$23)</f>
        <v>14.531586578974164</v>
      </c>
      <c r="AJ13" s="411">
        <f t="shared" ref="AJ13:AJ22" si="6">(E13+F13+G13-L13-AF13)*1000</f>
        <v>3830377.9691873277</v>
      </c>
      <c r="AL13" s="411">
        <f t="shared" ref="AL13:AL22" si="7">AJ13-AH13</f>
        <v>3830363.4376007486</v>
      </c>
    </row>
    <row r="14" spans="1:38" ht="14.5" customHeight="1" x14ac:dyDescent="0.15">
      <c r="B14" s="2"/>
      <c r="C14" s="220" t="s">
        <v>382</v>
      </c>
      <c r="D14" s="306">
        <v>1075827</v>
      </c>
      <c r="E14" s="307">
        <v>11489.816499790002</v>
      </c>
      <c r="F14" s="307">
        <v>462.19323253000005</v>
      </c>
      <c r="G14" s="307">
        <v>1595.3603585199999</v>
      </c>
      <c r="H14" s="222">
        <v>253.80573530000001</v>
      </c>
      <c r="I14" s="222">
        <v>225.00279648</v>
      </c>
      <c r="J14" s="222">
        <v>37.433318530000001</v>
      </c>
      <c r="K14" s="222">
        <v>118.50549619</v>
      </c>
      <c r="L14" s="222">
        <v>4.2427922100000002</v>
      </c>
      <c r="M14" s="222">
        <v>14.666558040000002</v>
      </c>
      <c r="N14" s="222">
        <v>1443.2283510700001</v>
      </c>
      <c r="O14" s="222">
        <v>9503.5754111499991</v>
      </c>
      <c r="P14" s="222">
        <v>0.36576500000000001</v>
      </c>
      <c r="Q14" s="222">
        <v>64.642018629999995</v>
      </c>
      <c r="R14" s="222">
        <v>0.14009321999999999</v>
      </c>
      <c r="S14" s="222">
        <v>65.098488079999996</v>
      </c>
      <c r="T14" s="222">
        <v>63828.278071790002</v>
      </c>
      <c r="U14" s="222">
        <v>6857.7573505</v>
      </c>
      <c r="V14" s="88">
        <v>2</v>
      </c>
      <c r="W14" s="464">
        <f t="shared" si="0"/>
        <v>393.68569935958215</v>
      </c>
      <c r="X14" s="78">
        <f t="shared" si="1"/>
        <v>393.68569935958215</v>
      </c>
      <c r="Y14" s="78">
        <f t="shared" si="2"/>
        <v>68.507533170417901</v>
      </c>
      <c r="AA14" s="78">
        <f t="shared" si="3"/>
        <v>393.70085117809214</v>
      </c>
      <c r="AB14" s="78">
        <f t="shared" si="4"/>
        <v>80.597097847550472</v>
      </c>
      <c r="AC14" s="78">
        <f t="shared" si="5"/>
        <v>474.29794902564259</v>
      </c>
      <c r="AF14" s="1">
        <f>(P49_T20_nontaxable!D$23+P49_T20_nontaxable!D$36+P49_T20_nontaxable!D$27)*1000*(P14_P15_T9!G14/P14_P15_T9!G$23)</f>
        <v>190.23731428421081</v>
      </c>
      <c r="AH14" s="1">
        <f>('P48_T19_taxed excl '!D$16+'P48_T19_taxed excl '!D$19+'P48_T19_taxed excl '!D$21)*1000*(P14_P15_T9!F14/P14_P15_T9!F$23)</f>
        <v>95.314606998493588</v>
      </c>
      <c r="AJ14" s="411">
        <f t="shared" si="6"/>
        <v>13352889.984345792</v>
      </c>
      <c r="AL14" s="411">
        <f t="shared" si="7"/>
        <v>13352794.669738794</v>
      </c>
    </row>
    <row r="15" spans="1:38" ht="14.5" customHeight="1" x14ac:dyDescent="0.15">
      <c r="B15" s="2"/>
      <c r="C15" s="220" t="s">
        <v>383</v>
      </c>
      <c r="D15" s="306">
        <v>2692915</v>
      </c>
      <c r="E15" s="307">
        <v>52210.327568070003</v>
      </c>
      <c r="F15" s="307">
        <v>1588.0668366999998</v>
      </c>
      <c r="G15" s="307">
        <v>4045.0235957599998</v>
      </c>
      <c r="H15" s="222">
        <v>845.71657845999994</v>
      </c>
      <c r="I15" s="222">
        <v>614.90074715999992</v>
      </c>
      <c r="J15" s="222">
        <v>109.34103909999999</v>
      </c>
      <c r="K15" s="222">
        <v>340.67599786</v>
      </c>
      <c r="L15" s="222">
        <v>29.111671600000001</v>
      </c>
      <c r="M15" s="222">
        <v>45.464629090000003</v>
      </c>
      <c r="N15" s="222">
        <v>7947.0773465300008</v>
      </c>
      <c r="O15" s="222">
        <v>42586.911560799999</v>
      </c>
      <c r="P15" s="222">
        <v>1.8819723799999999</v>
      </c>
      <c r="Q15" s="222">
        <v>186.80357405000001</v>
      </c>
      <c r="R15" s="222">
        <v>1.1483390500000001</v>
      </c>
      <c r="S15" s="222">
        <v>189.03955948999999</v>
      </c>
      <c r="T15" s="222">
        <v>162664.67519040999</v>
      </c>
      <c r="U15" s="222">
        <v>47395.748353829993</v>
      </c>
      <c r="V15" s="88">
        <v>3</v>
      </c>
      <c r="W15" s="464">
        <f t="shared" si="0"/>
        <v>1352.6792675299898</v>
      </c>
      <c r="X15" s="78">
        <f t="shared" si="1"/>
        <v>1352.6792675299898</v>
      </c>
      <c r="Y15" s="78">
        <f t="shared" si="2"/>
        <v>235.38756917001001</v>
      </c>
      <c r="AA15" s="78">
        <f t="shared" si="3"/>
        <v>1352.7390442296189</v>
      </c>
      <c r="AB15" s="78">
        <f t="shared" si="4"/>
        <v>276.92655196471765</v>
      </c>
      <c r="AC15" s="78">
        <f t="shared" si="5"/>
        <v>1629.6655961943366</v>
      </c>
      <c r="AF15" s="1">
        <f>(P49_T20_nontaxable!D$23+P49_T20_nontaxable!D$36+P49_T20_nontaxable!D$27)*1000*(P14_P15_T9!G15/P14_P15_T9!G$23)</f>
        <v>482.34520869473943</v>
      </c>
      <c r="AH15" s="1">
        <f>('P48_T19_taxed excl '!D$16+'P48_T19_taxed excl '!D$19+'P48_T19_taxed excl '!D$21)*1000*(P14_P15_T9!F15/P14_P15_T9!F$23)</f>
        <v>327.49498645585754</v>
      </c>
      <c r="AJ15" s="411">
        <f t="shared" si="6"/>
        <v>57331961.120235264</v>
      </c>
      <c r="AL15" s="411">
        <f t="shared" si="7"/>
        <v>57331633.625248812</v>
      </c>
    </row>
    <row r="16" spans="1:38" ht="14.5" customHeight="1" x14ac:dyDescent="0.15">
      <c r="B16" s="2"/>
      <c r="C16" s="220" t="s">
        <v>384</v>
      </c>
      <c r="D16" s="306">
        <v>7882026</v>
      </c>
      <c r="E16" s="307">
        <v>215199.90025609001</v>
      </c>
      <c r="F16" s="307">
        <v>13690.81096556</v>
      </c>
      <c r="G16" s="307">
        <v>21127.669187380001</v>
      </c>
      <c r="H16" s="222">
        <v>7806.7210924999999</v>
      </c>
      <c r="I16" s="222">
        <v>7717.5162627600002</v>
      </c>
      <c r="J16" s="222">
        <v>2448.5856781399998</v>
      </c>
      <c r="K16" s="222">
        <v>4779.40380723</v>
      </c>
      <c r="L16" s="222">
        <v>363.67575582999996</v>
      </c>
      <c r="M16" s="222">
        <v>967.54436340999996</v>
      </c>
      <c r="N16" s="222">
        <v>28718.929579599993</v>
      </c>
      <c r="O16" s="222">
        <v>164146.26350899998</v>
      </c>
      <c r="P16" s="222">
        <v>1180.95926201</v>
      </c>
      <c r="Q16" s="222">
        <v>2534.9345218200001</v>
      </c>
      <c r="R16" s="222">
        <v>283.52612868</v>
      </c>
      <c r="S16" s="222">
        <v>1664.44225345</v>
      </c>
      <c r="T16" s="222">
        <v>489763.46020329004</v>
      </c>
      <c r="U16" s="222">
        <v>51170.119070400004</v>
      </c>
      <c r="V16" s="88">
        <v>4</v>
      </c>
      <c r="W16" s="464">
        <f>F16*(W17/F17)</f>
        <v>11661.521870999004</v>
      </c>
      <c r="X16" s="78">
        <f t="shared" si="1"/>
        <v>11661.521870999004</v>
      </c>
      <c r="Y16" s="78">
        <f t="shared" si="2"/>
        <v>2029.2890945609961</v>
      </c>
      <c r="AA16" s="78">
        <f t="shared" si="3"/>
        <v>11745.4213273027</v>
      </c>
      <c r="AB16" s="78">
        <f t="shared" si="4"/>
        <v>2387.3989347776424</v>
      </c>
      <c r="AC16" s="78">
        <f t="shared" si="5"/>
        <v>14132.820262080342</v>
      </c>
      <c r="AF16" s="1">
        <f>(P49_T20_nontaxable!D$23+P49_T20_nontaxable!D$36+P49_T20_nontaxable!D$27)*1000*(P14_P15_T9!G16/P14_P15_T9!G$23)</f>
        <v>2519.3499523963883</v>
      </c>
      <c r="AH16" s="1">
        <f>('P48_T19_taxed excl '!D$16+'P48_T19_taxed excl '!D$19+'P48_T19_taxed excl '!D$21)*1000*(P14_P15_T9!F16/P14_P15_T9!F$23)</f>
        <v>2823.3521714066146</v>
      </c>
      <c r="AJ16" s="411">
        <f t="shared" si="6"/>
        <v>247135354.70080364</v>
      </c>
      <c r="AL16" s="411">
        <f t="shared" si="7"/>
        <v>247132531.34863222</v>
      </c>
    </row>
    <row r="17" spans="2:38" ht="14.5" customHeight="1" x14ac:dyDescent="0.15">
      <c r="B17" s="2"/>
      <c r="C17" s="220" t="s">
        <v>385</v>
      </c>
      <c r="D17" s="306">
        <v>7300376</v>
      </c>
      <c r="E17" s="307">
        <v>331748.06552414998</v>
      </c>
      <c r="F17" s="307">
        <v>29400.127890939999</v>
      </c>
      <c r="G17" s="307">
        <v>57666.97844875</v>
      </c>
      <c r="H17" s="222">
        <v>15405.950535060001</v>
      </c>
      <c r="I17" s="222">
        <v>11858.24913192</v>
      </c>
      <c r="J17" s="222">
        <v>7602.9542667599999</v>
      </c>
      <c r="K17" s="222">
        <v>15148.864452440001</v>
      </c>
      <c r="L17" s="222">
        <v>1782.73999968</v>
      </c>
      <c r="M17" s="222">
        <v>3259.6174304799997</v>
      </c>
      <c r="N17" s="222">
        <v>34940.499290449981</v>
      </c>
      <c r="O17" s="222">
        <v>243230.76310061998</v>
      </c>
      <c r="P17" s="222">
        <v>12135.90712856</v>
      </c>
      <c r="Q17" s="222">
        <v>15419.108205459997</v>
      </c>
      <c r="R17" s="222">
        <v>2250.8500249099998</v>
      </c>
      <c r="S17" s="222">
        <v>5680.1389296500001</v>
      </c>
      <c r="T17" s="222">
        <v>757644.06898645998</v>
      </c>
      <c r="U17" s="222">
        <v>89089.03986081999</v>
      </c>
      <c r="V17" s="88">
        <v>5</v>
      </c>
      <c r="W17" s="78">
        <f t="shared" ref="W17:W22" si="8">$W$23*(E17/$E$23)</f>
        <v>25042.361279607434</v>
      </c>
      <c r="X17" s="78">
        <f>W17+$W$25</f>
        <v>26349.156503325801</v>
      </c>
      <c r="Y17" s="78">
        <f t="shared" si="2"/>
        <v>3050.9713876141977</v>
      </c>
      <c r="AA17" s="78">
        <f t="shared" si="3"/>
        <v>27663.837722773242</v>
      </c>
      <c r="AB17" s="78">
        <f t="shared" si="4"/>
        <v>3589.3781030755267</v>
      </c>
      <c r="AC17" s="78">
        <f t="shared" si="5"/>
        <v>31253.215825848769</v>
      </c>
      <c r="AF17" s="1">
        <f>(P49_T20_nontaxable!D$23+P49_T20_nontaxable!D$36+P49_T20_nontaxable!D$27)*1000*(P14_P15_T9!G17/P14_P15_T9!G$23)</f>
        <v>6876.4470950956866</v>
      </c>
      <c r="AH17" s="1">
        <f>('P48_T19_taxed excl '!D$16+'P48_T19_taxed excl '!D$19+'P48_T19_taxed excl '!D$21)*1000*(P14_P15_T9!F17/P14_P15_T9!F$23)</f>
        <v>6062.9655269747091</v>
      </c>
      <c r="AJ17" s="411">
        <f t="shared" si="6"/>
        <v>410155984.76906425</v>
      </c>
      <c r="AL17" s="411">
        <f t="shared" si="7"/>
        <v>410149921.80353725</v>
      </c>
    </row>
    <row r="18" spans="2:38" ht="14.5" customHeight="1" x14ac:dyDescent="0.15">
      <c r="B18" s="2"/>
      <c r="C18" s="220" t="s">
        <v>386</v>
      </c>
      <c r="D18" s="306">
        <v>3522174</v>
      </c>
      <c r="E18" s="307">
        <v>285867.49487622001</v>
      </c>
      <c r="F18" s="307">
        <v>30799.375713640002</v>
      </c>
      <c r="G18" s="307">
        <v>82919.928656510005</v>
      </c>
      <c r="H18" s="222">
        <v>13761.350007329998</v>
      </c>
      <c r="I18" s="222">
        <v>5944.31502</v>
      </c>
      <c r="J18" s="222">
        <v>5358.6510523799998</v>
      </c>
      <c r="K18" s="222">
        <v>14146.33033029</v>
      </c>
      <c r="L18" s="222">
        <v>3016.3715382600003</v>
      </c>
      <c r="M18" s="222">
        <v>3442.3290272700001</v>
      </c>
      <c r="N18" s="222">
        <v>21328.747371400001</v>
      </c>
      <c r="O18" s="222">
        <v>219627.63503445001</v>
      </c>
      <c r="P18" s="222">
        <v>30517.32187199</v>
      </c>
      <c r="Q18" s="222">
        <v>31284.31460446</v>
      </c>
      <c r="R18" s="222">
        <v>3945.6650348000003</v>
      </c>
      <c r="S18" s="222">
        <v>4955.4185790900001</v>
      </c>
      <c r="T18" s="222">
        <v>863634.45039100992</v>
      </c>
      <c r="U18" s="222">
        <v>93949.29144932999</v>
      </c>
      <c r="V18" s="88">
        <v>6</v>
      </c>
      <c r="W18" s="78">
        <f t="shared" si="8"/>
        <v>21579.016816498952</v>
      </c>
      <c r="X18" s="78">
        <f t="shared" ref="X18:X22" si="9">W18+$W$25</f>
        <v>22885.812040217319</v>
      </c>
      <c r="Y18" s="78">
        <f t="shared" si="2"/>
        <v>7913.5636734226828</v>
      </c>
      <c r="AA18" s="78">
        <f t="shared" si="3"/>
        <v>26065.802082106289</v>
      </c>
      <c r="AB18" s="78">
        <f t="shared" si="4"/>
        <v>9310.074909909039</v>
      </c>
      <c r="AC18" s="78">
        <f t="shared" si="5"/>
        <v>35375.876992015328</v>
      </c>
      <c r="AF18" s="1">
        <f>(P49_T20_nontaxable!D$23+P49_T20_nontaxable!D$36+P49_T20_nontaxable!D$27)*1000*(P14_P15_T9!G18/P14_P15_T9!G$23)</f>
        <v>9887.7124807630589</v>
      </c>
      <c r="AH18" s="1">
        <f>('P48_T19_taxed excl '!D$16+'P48_T19_taxed excl '!D$19+'P48_T19_taxed excl '!D$21)*1000*(P14_P15_T9!F18/P14_P15_T9!F$23)</f>
        <v>6351.5217993893893</v>
      </c>
      <c r="AJ18" s="411">
        <f t="shared" si="6"/>
        <v>386682715.22734696</v>
      </c>
      <c r="AL18" s="411">
        <f t="shared" si="7"/>
        <v>386676363.70554757</v>
      </c>
    </row>
    <row r="19" spans="2:38" ht="14.5" customHeight="1" x14ac:dyDescent="0.15">
      <c r="B19" s="2"/>
      <c r="C19" s="220" t="s">
        <v>387</v>
      </c>
      <c r="D19" s="306">
        <v>1507344</v>
      </c>
      <c r="E19" s="307">
        <v>212059.52792891001</v>
      </c>
      <c r="F19" s="307">
        <v>29273.569392750003</v>
      </c>
      <c r="G19" s="307">
        <v>99738.681584689999</v>
      </c>
      <c r="H19" s="222">
        <v>14291.418526519999</v>
      </c>
      <c r="I19" s="222">
        <v>2628.2519040000002</v>
      </c>
      <c r="J19" s="222">
        <v>2337.6949863600003</v>
      </c>
      <c r="K19" s="222">
        <v>9941.3667238199996</v>
      </c>
      <c r="L19" s="222">
        <v>3186.02562214</v>
      </c>
      <c r="M19" s="222">
        <v>2931.96174509</v>
      </c>
      <c r="N19" s="222">
        <v>5257.9902525700018</v>
      </c>
      <c r="O19" s="222">
        <v>172428.69607891998</v>
      </c>
      <c r="P19" s="222">
        <v>34793.946319410003</v>
      </c>
      <c r="Q19" s="222">
        <v>33546.958238530002</v>
      </c>
      <c r="R19" s="222">
        <v>3416.3257579599999</v>
      </c>
      <c r="S19" s="222">
        <v>2415.25185126</v>
      </c>
      <c r="T19" s="222">
        <v>946214.97661140992</v>
      </c>
      <c r="U19" s="222">
        <v>77849.081224470006</v>
      </c>
      <c r="V19" s="88">
        <v>7</v>
      </c>
      <c r="W19" s="78">
        <f t="shared" si="8"/>
        <v>16007.54265978436</v>
      </c>
      <c r="X19" s="78">
        <f t="shared" si="9"/>
        <v>17314.337883502725</v>
      </c>
      <c r="Y19" s="78">
        <f t="shared" si="2"/>
        <v>11959.231509247278</v>
      </c>
      <c r="AA19" s="78">
        <f t="shared" si="3"/>
        <v>20808.153916299198</v>
      </c>
      <c r="AB19" s="78">
        <f t="shared" si="4"/>
        <v>14069.684128526211</v>
      </c>
      <c r="AC19" s="78">
        <f t="shared" si="5"/>
        <v>34877.83804482541</v>
      </c>
      <c r="AF19" s="1">
        <f>(P49_T20_nontaxable!D$23+P49_T20_nontaxable!D$36+P49_T20_nontaxable!D$27)*1000*(P14_P15_T9!G19/P14_P15_T9!G$23)</f>
        <v>11893.249580628612</v>
      </c>
      <c r="AH19" s="1">
        <f>('P48_T19_taxed excl '!D$16+'P48_T19_taxed excl '!D$19+'P48_T19_taxed excl '!D$21)*1000*(P14_P15_T9!F19/P14_P15_T9!F$23)</f>
        <v>6036.8663271848991</v>
      </c>
      <c r="AJ19" s="411">
        <f t="shared" si="6"/>
        <v>325992503.70358145</v>
      </c>
      <c r="AL19" s="411">
        <f t="shared" si="7"/>
        <v>325986466.83725429</v>
      </c>
    </row>
    <row r="20" spans="2:38" ht="14.5" customHeight="1" x14ac:dyDescent="0.15">
      <c r="B20" s="2"/>
      <c r="C20" s="220" t="s">
        <v>388</v>
      </c>
      <c r="D20" s="306">
        <v>518567</v>
      </c>
      <c r="E20" s="307">
        <v>109013.0396316</v>
      </c>
      <c r="F20" s="307">
        <v>22815.39257683</v>
      </c>
      <c r="G20" s="307">
        <v>96755.769979289995</v>
      </c>
      <c r="H20" s="222">
        <v>7299.8581936200007</v>
      </c>
      <c r="I20" s="222">
        <v>883.64239344000009</v>
      </c>
      <c r="J20" s="222">
        <v>769.36796222999999</v>
      </c>
      <c r="K20" s="222">
        <v>4451.1942034899994</v>
      </c>
      <c r="L20" s="222">
        <v>2507.3683789299998</v>
      </c>
      <c r="M20" s="222">
        <v>1518.7947990099999</v>
      </c>
      <c r="N20" s="222">
        <v>1501.694200320002</v>
      </c>
      <c r="O20" s="222">
        <v>90550.64955967998</v>
      </c>
      <c r="P20" s="222">
        <v>20764.62631852</v>
      </c>
      <c r="Q20" s="222">
        <v>19223.026796710001</v>
      </c>
      <c r="R20" s="222">
        <v>2192.8567674199999</v>
      </c>
      <c r="S20" s="222">
        <v>998.73967427999992</v>
      </c>
      <c r="T20" s="222">
        <v>703606.23908507999</v>
      </c>
      <c r="U20" s="222">
        <v>46862.445153159999</v>
      </c>
      <c r="V20" s="88">
        <v>8</v>
      </c>
      <c r="W20" s="78">
        <f t="shared" si="8"/>
        <v>8228.9671179528286</v>
      </c>
      <c r="X20" s="78">
        <f t="shared" si="9"/>
        <v>9535.762341671194</v>
      </c>
      <c r="Y20" s="78">
        <f t="shared" si="2"/>
        <v>13279.630235158806</v>
      </c>
      <c r="AA20" s="78">
        <f t="shared" si="3"/>
        <v>11722.456116369251</v>
      </c>
      <c r="AB20" s="78">
        <f>Y20/0.85</f>
        <v>15623.094394304477</v>
      </c>
      <c r="AC20" s="78">
        <f t="shared" si="5"/>
        <v>27345.550510673726</v>
      </c>
      <c r="AF20" s="1">
        <f>(P49_T20_nontaxable!D$23+P49_T20_nontaxable!D$36+P49_T20_nontaxable!D$27)*1000*(P14_P15_T9!G20/P14_P15_T9!G$23)</f>
        <v>11537.554963090961</v>
      </c>
      <c r="AH20" s="1">
        <f>('P48_T19_taxed excl '!D$16+'P48_T19_taxed excl '!D$19+'P48_T19_taxed excl '!D$21)*1000*(P14_P15_T9!F20/P14_P15_T9!F$23)</f>
        <v>4705.0454743206301</v>
      </c>
      <c r="AJ20" s="411">
        <f t="shared" si="6"/>
        <v>214539278.84569904</v>
      </c>
      <c r="AL20" s="411">
        <f t="shared" si="7"/>
        <v>214534573.80022472</v>
      </c>
    </row>
    <row r="21" spans="2:38" ht="14.5" customHeight="1" x14ac:dyDescent="0.15">
      <c r="B21" s="2"/>
      <c r="C21" s="220" t="s">
        <v>389</v>
      </c>
      <c r="D21" s="306">
        <v>136718</v>
      </c>
      <c r="E21" s="307">
        <v>34452.138270869997</v>
      </c>
      <c r="F21" s="307">
        <v>14716.583701359999</v>
      </c>
      <c r="G21" s="307">
        <v>72002.39624627</v>
      </c>
      <c r="H21" s="222">
        <v>1611.89679093</v>
      </c>
      <c r="I21" s="222">
        <v>205.10724324</v>
      </c>
      <c r="J21" s="222">
        <v>175.44489471</v>
      </c>
      <c r="K21" s="222">
        <v>1212.5316265599999</v>
      </c>
      <c r="L21" s="222">
        <v>1281.3760032499999</v>
      </c>
      <c r="M21" s="222">
        <v>401.50110074000003</v>
      </c>
      <c r="N21" s="222">
        <v>482.34428650999962</v>
      </c>
      <c r="O21" s="222">
        <v>29216.477645970001</v>
      </c>
      <c r="P21" s="222">
        <v>7074.2806614599995</v>
      </c>
      <c r="Q21" s="222">
        <v>6191.1422391799997</v>
      </c>
      <c r="R21" s="222">
        <v>971.94098785000006</v>
      </c>
      <c r="S21" s="222">
        <v>299.71364258</v>
      </c>
      <c r="T21" s="222">
        <v>453223.16207492002</v>
      </c>
      <c r="U21" s="222">
        <v>27084.970354550002</v>
      </c>
      <c r="V21" s="88">
        <v>9</v>
      </c>
      <c r="W21" s="78">
        <f t="shared" si="8"/>
        <v>2600.6568932692403</v>
      </c>
      <c r="X21" s="78">
        <f t="shared" si="9"/>
        <v>3907.4521169876061</v>
      </c>
      <c r="Y21" s="78">
        <f t="shared" si="2"/>
        <v>10809.131584372393</v>
      </c>
      <c r="AA21" s="78">
        <f t="shared" si="3"/>
        <v>4853.5761940150514</v>
      </c>
      <c r="AB21" s="78">
        <f t="shared" si="4"/>
        <v>12716.625393379287</v>
      </c>
      <c r="AC21" s="78">
        <f t="shared" si="5"/>
        <v>17570.201587394338</v>
      </c>
      <c r="AF21" s="1">
        <f>(P49_T20_nontaxable!D$23+P49_T20_nontaxable!D$36+P49_T20_nontaxable!D$27)*1000*(P14_P15_T9!G21/P14_P15_T9!G$23)</f>
        <v>8585.8611258368128</v>
      </c>
      <c r="AH21" s="1">
        <f>('P48_T19_taxed excl '!D$16+'P48_T19_taxed excl '!D$19+'P48_T19_taxed excl '!D$21)*1000*(P14_P15_T9!F21/P14_P15_T9!F$23)</f>
        <v>3034.8895075276064</v>
      </c>
      <c r="AJ21" s="411">
        <f t="shared" si="6"/>
        <v>111303881.08941318</v>
      </c>
      <c r="AL21" s="411">
        <f t="shared" si="7"/>
        <v>111300846.19990565</v>
      </c>
    </row>
    <row r="22" spans="2:38" ht="14.5" customHeight="1" thickBot="1" x14ac:dyDescent="0.2">
      <c r="B22" s="2"/>
      <c r="C22" s="223" t="s">
        <v>390</v>
      </c>
      <c r="D22" s="308">
        <v>71440</v>
      </c>
      <c r="E22" s="309">
        <v>37384.21782369</v>
      </c>
      <c r="F22" s="309">
        <v>64509.891530840003</v>
      </c>
      <c r="G22" s="309">
        <v>196039.69319580001</v>
      </c>
      <c r="H22" s="225">
        <v>953.3476774799999</v>
      </c>
      <c r="I22" s="225">
        <v>100.13400372</v>
      </c>
      <c r="J22" s="225">
        <v>82.537378540000006</v>
      </c>
      <c r="K22" s="225">
        <v>804.23993832000008</v>
      </c>
      <c r="L22" s="225">
        <v>4919.1005423400002</v>
      </c>
      <c r="M22" s="225">
        <v>336.59370268999999</v>
      </c>
      <c r="N22" s="225">
        <v>269.63174769999932</v>
      </c>
      <c r="O22" s="225">
        <v>30117.87804268</v>
      </c>
      <c r="P22" s="225">
        <v>7763.0102949399998</v>
      </c>
      <c r="Q22" s="225">
        <v>6328.8323721100005</v>
      </c>
      <c r="R22" s="225">
        <v>1500.59729679</v>
      </c>
      <c r="S22" s="225">
        <v>212.37049986000002</v>
      </c>
      <c r="T22" s="225">
        <v>1264339.80616746</v>
      </c>
      <c r="U22" s="225">
        <v>58130.509370349995</v>
      </c>
      <c r="V22" s="88">
        <v>10</v>
      </c>
      <c r="W22" s="78">
        <f t="shared" si="8"/>
        <v>2821.9880873072752</v>
      </c>
      <c r="X22" s="78">
        <f t="shared" si="9"/>
        <v>4128.7833110256415</v>
      </c>
      <c r="Y22" s="78">
        <f t="shared" si="2"/>
        <v>60381.108219814363</v>
      </c>
      <c r="AA22" s="78">
        <f t="shared" si="3"/>
        <v>5192.9946510027794</v>
      </c>
      <c r="AB22" s="78">
        <f t="shared" si="4"/>
        <v>71036.597905663963</v>
      </c>
      <c r="AC22" s="78">
        <f t="shared" si="5"/>
        <v>76229.592556666743</v>
      </c>
      <c r="AF22" s="1">
        <f>(P49_T20_nontaxable!D$23+P49_T20_nontaxable!D$36+P49_T20_nontaxable!D$27)*1000*(P14_P15_T9!G22/P14_P15_T9!G$23)</f>
        <v>23376.577290203582</v>
      </c>
      <c r="AH22" s="1">
        <f>('P48_T19_taxed excl '!D$16+'P48_T19_taxed excl '!D$19+'P48_T19_taxed excl '!D$21)*1000*(P14_P15_T9!F22/P14_P15_T9!F$23)</f>
        <v>13303.385956388624</v>
      </c>
      <c r="AJ22" s="411">
        <f t="shared" si="6"/>
        <v>269638124.71778637</v>
      </c>
      <c r="AL22" s="411">
        <f t="shared" si="7"/>
        <v>269624821.33182997</v>
      </c>
    </row>
    <row r="23" spans="2:38" ht="14.5" customHeight="1" thickBot="1" x14ac:dyDescent="0.2">
      <c r="B23" s="2"/>
      <c r="C23" s="226" t="s">
        <v>64</v>
      </c>
      <c r="D23" s="227">
        <v>26494416</v>
      </c>
      <c r="E23" s="227">
        <v>1293205.3016929203</v>
      </c>
      <c r="F23" s="227">
        <v>207361.44886296004</v>
      </c>
      <c r="G23" s="227">
        <v>632171.26170038001</v>
      </c>
      <c r="H23" s="227">
        <v>62362.978285419995</v>
      </c>
      <c r="I23" s="227">
        <v>30385.130287439999</v>
      </c>
      <c r="J23" s="227">
        <v>18944.704693860003</v>
      </c>
      <c r="K23" s="227">
        <v>51019.698709409997</v>
      </c>
      <c r="L23" s="227">
        <v>17090.40650623</v>
      </c>
      <c r="M23" s="227">
        <v>12943.905911060001</v>
      </c>
      <c r="N23" s="227">
        <v>102385.76893313999</v>
      </c>
      <c r="O23" s="227">
        <v>1004511.95465031</v>
      </c>
      <c r="P23" s="227">
        <v>114232.38902444999</v>
      </c>
      <c r="Q23" s="227">
        <v>114802.38511961</v>
      </c>
      <c r="R23" s="227">
        <v>14563.077486759999</v>
      </c>
      <c r="S23" s="227">
        <v>16503.528498659998</v>
      </c>
      <c r="T23" s="227">
        <v>5825477.6990356604</v>
      </c>
      <c r="U23" s="227">
        <v>508898.44947743998</v>
      </c>
      <c r="V23" s="22"/>
      <c r="W23" s="78">
        <f>('[3]P48_T19_taxed excl '!D14+'[3]P48_T19_taxed excl '!D18+'[3]P48_T19_taxed excl '!D22+'[3]P48_T19_taxed excl '!D23)*1000</f>
        <v>97618.999895390021</v>
      </c>
      <c r="X23" s="78">
        <f>SUM(X12:X22)</f>
        <v>97618.999895390036</v>
      </c>
      <c r="Y23" s="78">
        <f>F23-X23</f>
        <v>109742.44896757</v>
      </c>
      <c r="AA23" s="78">
        <f>SUM(AA12:AA22)</f>
        <v>109888.49765764068</v>
      </c>
      <c r="AB23" s="78">
        <f>SUM(AB12:AB22)</f>
        <v>129108.76349125881</v>
      </c>
      <c r="AC23" s="78">
        <f t="shared" si="5"/>
        <v>238997.2611488995</v>
      </c>
      <c r="AF23" s="1">
        <f>SUM(AF12:AF22)</f>
        <v>75382.694794489973</v>
      </c>
      <c r="AJ23" s="411">
        <f>SUM(AJ12:AJ22)</f>
        <v>2040264910.9555399</v>
      </c>
      <c r="AL23" s="411">
        <f>SUM(AL12:AL22)</f>
        <v>2040222148.3757057</v>
      </c>
    </row>
    <row r="24" spans="2:38" ht="15" customHeight="1" thickBot="1" x14ac:dyDescent="0.2">
      <c r="B24" s="2"/>
      <c r="C24" s="1" t="s">
        <v>470</v>
      </c>
      <c r="D24" s="1" t="s">
        <v>471</v>
      </c>
      <c r="H24" s="1" t="s">
        <v>472</v>
      </c>
      <c r="I24" s="1" t="s">
        <v>517</v>
      </c>
      <c r="Q24" s="405"/>
      <c r="R24" s="405"/>
      <c r="V24" s="22"/>
      <c r="W24" s="78">
        <f>SUM(W12:W22)</f>
        <v>89778.228553079825</v>
      </c>
    </row>
    <row r="25" spans="2:38" ht="15" customHeight="1" thickBot="1" x14ac:dyDescent="0.2">
      <c r="B25" s="228"/>
      <c r="C25" s="1">
        <v>0</v>
      </c>
      <c r="D25" s="399">
        <f>D12</f>
        <v>1268688</v>
      </c>
      <c r="E25" s="305">
        <f>E12*1000000</f>
        <v>209841266.42000002</v>
      </c>
      <c r="F25" s="305">
        <f t="shared" ref="F25" si="10">F12*1000000</f>
        <v>34971421.769999996</v>
      </c>
      <c r="G25" s="305">
        <f>G12*1000000</f>
        <v>64808457.729999989</v>
      </c>
      <c r="H25" s="389">
        <f>(E25+F25+G25)</f>
        <v>309621145.91999996</v>
      </c>
      <c r="I25" s="393">
        <f>H25-(L12*1000000)</f>
        <v>309566854.45999998</v>
      </c>
      <c r="L25" s="407">
        <f>H25-((SUM(H12:N12))*1000000)</f>
        <v>33374797.149999976</v>
      </c>
      <c r="M25" s="398" t="str">
        <f>IF(AND(H25/D25&lt;=C26,H25/D25&gt;=C25), "OK", "ERROR")</f>
        <v>OK</v>
      </c>
      <c r="N25" s="1">
        <f>E12*1000000</f>
        <v>209841266.42000002</v>
      </c>
      <c r="O25" s="1">
        <f>F12*1000000</f>
        <v>34971421.769999996</v>
      </c>
      <c r="P25" s="1">
        <f>G12*1000000</f>
        <v>64808457.729999989</v>
      </c>
      <c r="Q25" s="1">
        <f>O12*1000000</f>
        <v>168987115.56</v>
      </c>
      <c r="R25" s="406">
        <f>(Q12+R12-S12)*1000000</f>
        <v>-572812.14999999898</v>
      </c>
      <c r="S25" s="401">
        <f>H25-R25</f>
        <v>310193958.06999993</v>
      </c>
      <c r="T25" s="405">
        <f>Q25-R25</f>
        <v>169559927.71000001</v>
      </c>
      <c r="U25" s="405">
        <f>E25-R25</f>
        <v>210414078.57000002</v>
      </c>
      <c r="V25" s="22"/>
      <c r="W25" s="78">
        <f>(W23-W24)/6</f>
        <v>1306.7952237183661</v>
      </c>
      <c r="X25" s="78" t="s">
        <v>577</v>
      </c>
      <c r="Y25" s="78"/>
      <c r="Z25" s="78"/>
      <c r="AA25" s="78" t="s">
        <v>554</v>
      </c>
      <c r="AB25" s="78"/>
      <c r="AF25" s="1">
        <f>R25*(1+0.15)</f>
        <v>-658733.97249999875</v>
      </c>
    </row>
    <row r="26" spans="2:38" ht="15" customHeight="1" thickBot="1" x14ac:dyDescent="0.2">
      <c r="B26" s="228"/>
      <c r="C26" s="402">
        <v>4068</v>
      </c>
      <c r="D26" s="399">
        <f t="shared" ref="D26:D35" si="11">D13</f>
        <v>518341</v>
      </c>
      <c r="E26" s="305">
        <f t="shared" ref="E26:G35" si="12">E13*1000000</f>
        <v>3570932047.1100001</v>
      </c>
      <c r="F26" s="305">
        <f t="shared" si="12"/>
        <v>70465600.039999992</v>
      </c>
      <c r="G26" s="305">
        <f t="shared" si="12"/>
        <v>214951989.68000001</v>
      </c>
      <c r="H26" s="389">
        <f t="shared" ref="H26:H34" si="13">(E26+F26+G26)</f>
        <v>3856349636.8299999</v>
      </c>
      <c r="I26" s="393">
        <f t="shared" ref="I26:I35" si="14">H26-(L13*1000000)</f>
        <v>3856009726.2999997</v>
      </c>
      <c r="L26" s="407">
        <f t="shared" ref="L26:L35" si="15">H26-((SUM(H13:N13))*1000000)</f>
        <v>3170938538.1199999</v>
      </c>
      <c r="M26" s="398" t="str">
        <f t="shared" ref="M26:M34" si="16">IF(AND(H26/D26&lt;=C27,H26/D26&gt;=C26), "OK", "ERROR")</f>
        <v>OK</v>
      </c>
      <c r="N26" s="1">
        <f t="shared" ref="N26:N35" si="17">E13*1000000</f>
        <v>3570932047.1100001</v>
      </c>
      <c r="O26" s="1">
        <f t="shared" ref="O26:O35" si="18">F13*1000000</f>
        <v>70465600.039999992</v>
      </c>
      <c r="P26" s="1">
        <f t="shared" ref="P26:P35" si="19">G13*1000000</f>
        <v>214951989.68000001</v>
      </c>
      <c r="Q26" s="1">
        <f t="shared" ref="Q26:Q35" si="20">O13*1000000</f>
        <v>2934117591.4800005</v>
      </c>
      <c r="R26" s="406">
        <f t="shared" ref="R26:R34" si="21">(Q13+R13-S13)*1000000</f>
        <v>-92604.029999998616</v>
      </c>
      <c r="S26" s="401">
        <f t="shared" ref="S26:S35" si="22">H26-R26</f>
        <v>3856442240.8600001</v>
      </c>
      <c r="T26" s="405">
        <f t="shared" ref="T26:T34" si="23">Q26-R26</f>
        <v>2934210195.5100007</v>
      </c>
      <c r="U26" s="405">
        <f t="shared" ref="U26:U35" si="24">E26-R26</f>
        <v>3571024651.1400003</v>
      </c>
      <c r="V26" s="22"/>
      <c r="X26" s="1" t="s">
        <v>571</v>
      </c>
      <c r="Y26" s="1" t="s">
        <v>579</v>
      </c>
      <c r="AA26" s="1" t="s">
        <v>571</v>
      </c>
      <c r="AB26" s="78" t="s">
        <v>578</v>
      </c>
      <c r="AF26" s="1">
        <f t="shared" ref="AF26:AF35" si="25">R26*(1+0.15)</f>
        <v>-106494.6344999984</v>
      </c>
    </row>
    <row r="27" spans="2:38" ht="15" customHeight="1" thickBot="1" x14ac:dyDescent="0.2">
      <c r="B27" s="228"/>
      <c r="C27" s="401">
        <v>8136</v>
      </c>
      <c r="D27" s="399">
        <f t="shared" si="11"/>
        <v>1075827</v>
      </c>
      <c r="E27" s="305">
        <f t="shared" si="12"/>
        <v>11489816499.790003</v>
      </c>
      <c r="F27" s="305">
        <f t="shared" si="12"/>
        <v>462193232.53000003</v>
      </c>
      <c r="G27" s="305">
        <f t="shared" si="12"/>
        <v>1595360358.52</v>
      </c>
      <c r="H27" s="389">
        <f t="shared" si="13"/>
        <v>13547370090.840004</v>
      </c>
      <c r="I27" s="393">
        <f t="shared" si="14"/>
        <v>13543127298.630005</v>
      </c>
      <c r="L27" s="407">
        <f t="shared" si="15"/>
        <v>11450485043.020004</v>
      </c>
      <c r="M27" s="398" t="str">
        <f t="shared" si="16"/>
        <v>OK</v>
      </c>
      <c r="N27" s="1">
        <f t="shared" si="17"/>
        <v>11489816499.790003</v>
      </c>
      <c r="O27" s="1">
        <f t="shared" si="18"/>
        <v>462193232.53000003</v>
      </c>
      <c r="P27" s="1">
        <f t="shared" si="19"/>
        <v>1595360358.52</v>
      </c>
      <c r="Q27" s="1">
        <f t="shared" si="20"/>
        <v>9503575411.1499996</v>
      </c>
      <c r="R27" s="406">
        <f t="shared" si="21"/>
        <v>-316376.23000000301</v>
      </c>
      <c r="S27" s="401">
        <f t="shared" si="22"/>
        <v>13547686467.070004</v>
      </c>
      <c r="T27" s="405">
        <f t="shared" si="23"/>
        <v>9503891787.3799992</v>
      </c>
      <c r="U27" s="405">
        <f t="shared" si="24"/>
        <v>11490132876.020002</v>
      </c>
      <c r="V27" s="22"/>
      <c r="X27" s="78">
        <f>E23-Y27</f>
        <v>1260892.1714944351</v>
      </c>
      <c r="Y27" s="1">
        <f>(E23+('P48_T19_taxed excl '!D14+'P48_T19_taxed excl '!D18+'P48_T19_taxed excl '!D22+'P48_T19_taxed excl '!D23+P49_T20_nontaxable!D23+P49_T20_nontaxable!D14*0.7+P49_T20_nontaxable!D15+P49_T20_nontaxable!D18+P49_T20_nontaxable!D19+P49_T20_nontaxable!D20+P49_T20_nontaxable!D24*0.7)*1000)*0.02</f>
        <v>32313.130198485309</v>
      </c>
      <c r="AA27" s="1">
        <f>(P49_T20_nontaxable!D12+P49_T20_nontaxable!D14*0.7+P49_T20_nontaxable!D15+P49_T20_nontaxable!D18*0.7+P49_T20_nontaxable!D19+P49_T20_nontaxable!D20+P49_T20_nontaxable!D24*0.7+P49_T20_nontaxable!D25+P49_T20_nontaxable!D26+P49_T20_nontaxable!D28+P49_T20_nontaxable!D29+P49_T20_nontaxable!D33+P49_T20_nontaxable!D34+P49_T20_nontaxable!D35+P49_T20_nontaxable!D37)*1000</f>
        <v>172903.28453948101</v>
      </c>
      <c r="AB27" s="78">
        <f>G23-AF23-P14_P15_T9!AA27</f>
        <v>383885.28236640897</v>
      </c>
      <c r="AF27" s="1">
        <f t="shared" si="25"/>
        <v>-363832.66450000345</v>
      </c>
    </row>
    <row r="28" spans="2:38" ht="15" customHeight="1" thickBot="1" x14ac:dyDescent="0.2">
      <c r="B28" s="228"/>
      <c r="C28" s="401">
        <v>16272</v>
      </c>
      <c r="D28" s="399">
        <f t="shared" si="11"/>
        <v>2692915</v>
      </c>
      <c r="E28" s="305">
        <f t="shared" si="12"/>
        <v>52210327568.07</v>
      </c>
      <c r="F28" s="305">
        <f t="shared" si="12"/>
        <v>1588066836.6999998</v>
      </c>
      <c r="G28" s="305">
        <f t="shared" si="12"/>
        <v>4045023595.7599998</v>
      </c>
      <c r="H28" s="389">
        <f t="shared" si="13"/>
        <v>57843418000.529999</v>
      </c>
      <c r="I28" s="393">
        <f t="shared" si="14"/>
        <v>57814306328.93</v>
      </c>
      <c r="L28" s="407">
        <f t="shared" si="15"/>
        <v>47911129990.729996</v>
      </c>
      <c r="M28" s="398" t="str">
        <f t="shared" si="16"/>
        <v>OK</v>
      </c>
      <c r="N28" s="1">
        <f t="shared" si="17"/>
        <v>52210327568.07</v>
      </c>
      <c r="O28" s="1">
        <f t="shared" si="18"/>
        <v>1588066836.6999998</v>
      </c>
      <c r="P28" s="1">
        <f t="shared" si="19"/>
        <v>4045023595.7599998</v>
      </c>
      <c r="Q28" s="1">
        <f t="shared" si="20"/>
        <v>42586911560.800003</v>
      </c>
      <c r="R28" s="406">
        <f t="shared" si="21"/>
        <v>-1087646.389999975</v>
      </c>
      <c r="S28" s="401">
        <f t="shared" si="22"/>
        <v>57844505646.919998</v>
      </c>
      <c r="T28" s="405">
        <f t="shared" si="23"/>
        <v>42587999207.190002</v>
      </c>
      <c r="U28" s="405">
        <f t="shared" si="24"/>
        <v>52211415214.459999</v>
      </c>
      <c r="V28" s="22"/>
      <c r="AF28" s="1">
        <f t="shared" si="25"/>
        <v>-1250793.3484999712</v>
      </c>
    </row>
    <row r="29" spans="2:38" ht="15" customHeight="1" thickBot="1" x14ac:dyDescent="0.2">
      <c r="B29" s="228"/>
      <c r="C29" s="401">
        <v>24408</v>
      </c>
      <c r="D29" s="399">
        <f t="shared" si="11"/>
        <v>7882026</v>
      </c>
      <c r="E29" s="305">
        <f t="shared" si="12"/>
        <v>215199900256.09003</v>
      </c>
      <c r="F29" s="305">
        <f t="shared" si="12"/>
        <v>13690810965.559999</v>
      </c>
      <c r="G29" s="305">
        <f t="shared" si="12"/>
        <v>21127669187.380001</v>
      </c>
      <c r="H29" s="389">
        <f t="shared" si="13"/>
        <v>250018380409.03003</v>
      </c>
      <c r="I29" s="393">
        <f t="shared" si="14"/>
        <v>249654704653.20004</v>
      </c>
      <c r="L29" s="407">
        <f t="shared" si="15"/>
        <v>197216003869.56003</v>
      </c>
      <c r="M29" s="398" t="str">
        <f t="shared" si="16"/>
        <v>OK</v>
      </c>
      <c r="N29" s="1">
        <f t="shared" si="17"/>
        <v>215199900256.09003</v>
      </c>
      <c r="O29" s="1">
        <f t="shared" si="18"/>
        <v>13690810965.559999</v>
      </c>
      <c r="P29" s="1">
        <f t="shared" si="19"/>
        <v>21127669187.380001</v>
      </c>
      <c r="Q29" s="1">
        <f t="shared" si="20"/>
        <v>164146263508.99997</v>
      </c>
      <c r="R29" s="406">
        <f>(Q16+R16-S16)*1000000</f>
        <v>1154018397.0500002</v>
      </c>
      <c r="S29" s="401">
        <f t="shared" si="22"/>
        <v>248864362011.98004</v>
      </c>
      <c r="T29" s="405">
        <f t="shared" si="23"/>
        <v>162992245111.94998</v>
      </c>
      <c r="U29" s="405">
        <f t="shared" si="24"/>
        <v>214045881859.04004</v>
      </c>
      <c r="V29" s="22"/>
      <c r="AF29" s="1">
        <f t="shared" si="25"/>
        <v>1327121156.6075001</v>
      </c>
      <c r="AG29" s="118"/>
    </row>
    <row r="30" spans="2:38" ht="15" customHeight="1" thickBot="1" x14ac:dyDescent="0.2">
      <c r="B30" s="228"/>
      <c r="C30" s="401">
        <v>40680</v>
      </c>
      <c r="D30" s="399">
        <f t="shared" si="11"/>
        <v>7300376</v>
      </c>
      <c r="E30" s="305">
        <f t="shared" si="12"/>
        <v>331748065524.14996</v>
      </c>
      <c r="F30" s="305">
        <f t="shared" si="12"/>
        <v>29400127890.939999</v>
      </c>
      <c r="G30" s="305">
        <f t="shared" si="12"/>
        <v>57666978448.75</v>
      </c>
      <c r="H30" s="389">
        <f t="shared" si="13"/>
        <v>418815171863.83997</v>
      </c>
      <c r="I30" s="393">
        <f t="shared" si="14"/>
        <v>417032431864.15997</v>
      </c>
      <c r="L30" s="407">
        <f t="shared" si="15"/>
        <v>328816296757.04999</v>
      </c>
      <c r="M30" s="398" t="str">
        <f t="shared" si="16"/>
        <v>OK</v>
      </c>
      <c r="N30" s="1">
        <f t="shared" si="17"/>
        <v>331748065524.14996</v>
      </c>
      <c r="O30" s="1">
        <f t="shared" si="18"/>
        <v>29400127890.939999</v>
      </c>
      <c r="P30" s="1">
        <f t="shared" si="19"/>
        <v>57666978448.75</v>
      </c>
      <c r="Q30" s="1">
        <f t="shared" si="20"/>
        <v>243230763100.62</v>
      </c>
      <c r="R30" s="406">
        <f t="shared" si="21"/>
        <v>11989819300.719997</v>
      </c>
      <c r="S30" s="401">
        <f t="shared" si="22"/>
        <v>406825352563.12</v>
      </c>
      <c r="T30" s="405">
        <f t="shared" si="23"/>
        <v>231240943799.89999</v>
      </c>
      <c r="U30" s="405">
        <f t="shared" si="24"/>
        <v>319758246223.42999</v>
      </c>
      <c r="V30" s="22"/>
      <c r="AF30" s="1">
        <f t="shared" si="25"/>
        <v>13788292195.827995</v>
      </c>
    </row>
    <row r="31" spans="2:38" ht="15" customHeight="1" thickBot="1" x14ac:dyDescent="0.2">
      <c r="B31" s="228"/>
      <c r="C31" s="401">
        <v>81360</v>
      </c>
      <c r="D31" s="399">
        <f t="shared" si="11"/>
        <v>3522174</v>
      </c>
      <c r="E31" s="305">
        <f t="shared" si="12"/>
        <v>285867494876.22003</v>
      </c>
      <c r="F31" s="305">
        <f t="shared" si="12"/>
        <v>30799375713.640003</v>
      </c>
      <c r="G31" s="305">
        <f t="shared" si="12"/>
        <v>82919928656.51001</v>
      </c>
      <c r="H31" s="389">
        <f t="shared" si="13"/>
        <v>399586799246.37006</v>
      </c>
      <c r="I31" s="393">
        <f t="shared" si="14"/>
        <v>396570427708.11005</v>
      </c>
      <c r="L31" s="407">
        <f t="shared" si="15"/>
        <v>332588704899.44006</v>
      </c>
      <c r="M31" s="398" t="str">
        <f t="shared" si="16"/>
        <v>OK</v>
      </c>
      <c r="N31" s="1">
        <f t="shared" si="17"/>
        <v>285867494876.22003</v>
      </c>
      <c r="O31" s="1">
        <f t="shared" si="18"/>
        <v>30799375713.640003</v>
      </c>
      <c r="P31" s="1">
        <f t="shared" si="19"/>
        <v>82919928656.51001</v>
      </c>
      <c r="Q31" s="1">
        <f t="shared" si="20"/>
        <v>219627635034.45001</v>
      </c>
      <c r="R31" s="406">
        <f t="shared" si="21"/>
        <v>30274561060.169994</v>
      </c>
      <c r="S31" s="401">
        <f t="shared" si="22"/>
        <v>369312238186.20007</v>
      </c>
      <c r="T31" s="405">
        <f t="shared" si="23"/>
        <v>189353073974.28003</v>
      </c>
      <c r="U31" s="405">
        <f t="shared" si="24"/>
        <v>255592933816.05005</v>
      </c>
      <c r="V31" s="22"/>
      <c r="AF31" s="1">
        <f t="shared" si="25"/>
        <v>34815745219.195488</v>
      </c>
    </row>
    <row r="32" spans="2:38" ht="15" customHeight="1" thickBot="1" x14ac:dyDescent="0.2">
      <c r="B32" s="228"/>
      <c r="C32" s="401">
        <v>162720</v>
      </c>
      <c r="D32" s="399">
        <f t="shared" si="11"/>
        <v>1507344</v>
      </c>
      <c r="E32" s="305">
        <f t="shared" si="12"/>
        <v>212059527928.91</v>
      </c>
      <c r="F32" s="305">
        <f t="shared" si="12"/>
        <v>29273569392.750004</v>
      </c>
      <c r="G32" s="305">
        <f t="shared" si="12"/>
        <v>99738681584.690002</v>
      </c>
      <c r="H32" s="389">
        <f t="shared" si="13"/>
        <v>341071778906.34998</v>
      </c>
      <c r="I32" s="393">
        <f t="shared" si="14"/>
        <v>337885753284.20996</v>
      </c>
      <c r="L32" s="407">
        <f t="shared" si="15"/>
        <v>300497069145.84998</v>
      </c>
      <c r="M32" s="398" t="str">
        <f t="shared" si="16"/>
        <v>OK</v>
      </c>
      <c r="N32" s="1">
        <f t="shared" si="17"/>
        <v>212059527928.91</v>
      </c>
      <c r="O32" s="1">
        <f t="shared" si="18"/>
        <v>29273569392.750004</v>
      </c>
      <c r="P32" s="1">
        <f t="shared" si="19"/>
        <v>99738681584.690002</v>
      </c>
      <c r="Q32" s="1">
        <f t="shared" si="20"/>
        <v>172428696078.91998</v>
      </c>
      <c r="R32" s="406">
        <f t="shared" si="21"/>
        <v>34548032145.230003</v>
      </c>
      <c r="S32" s="401">
        <f t="shared" si="22"/>
        <v>306523746761.12</v>
      </c>
      <c r="T32" s="405">
        <f t="shared" si="23"/>
        <v>137880663933.68997</v>
      </c>
      <c r="U32" s="405">
        <f t="shared" si="24"/>
        <v>177511495783.67999</v>
      </c>
      <c r="V32" s="22"/>
      <c r="AF32" s="1">
        <f t="shared" si="25"/>
        <v>39730236967.014503</v>
      </c>
    </row>
    <row r="33" spans="1:32" ht="15" customHeight="1" thickBot="1" x14ac:dyDescent="0.2">
      <c r="B33" s="228"/>
      <c r="C33" s="401">
        <v>325440</v>
      </c>
      <c r="D33" s="399">
        <f t="shared" si="11"/>
        <v>518567</v>
      </c>
      <c r="E33" s="305">
        <f t="shared" si="12"/>
        <v>109013039631.59999</v>
      </c>
      <c r="F33" s="305">
        <f t="shared" si="12"/>
        <v>22815392576.829998</v>
      </c>
      <c r="G33" s="305">
        <f t="shared" si="12"/>
        <v>96755769979.289993</v>
      </c>
      <c r="H33" s="389">
        <f t="shared" si="13"/>
        <v>228584202187.71997</v>
      </c>
      <c r="I33" s="393">
        <f t="shared" si="14"/>
        <v>226076833808.78998</v>
      </c>
      <c r="L33" s="407">
        <f t="shared" si="15"/>
        <v>209652282056.67996</v>
      </c>
      <c r="M33" s="398" t="str">
        <f t="shared" si="16"/>
        <v>OK</v>
      </c>
      <c r="N33" s="1">
        <f t="shared" si="17"/>
        <v>109013039631.59999</v>
      </c>
      <c r="O33" s="1">
        <f t="shared" si="18"/>
        <v>22815392576.829998</v>
      </c>
      <c r="P33" s="1">
        <f t="shared" si="19"/>
        <v>96755769979.289993</v>
      </c>
      <c r="Q33" s="1">
        <f t="shared" si="20"/>
        <v>90550649559.679977</v>
      </c>
      <c r="R33" s="406">
        <f t="shared" si="21"/>
        <v>20417143889.849998</v>
      </c>
      <c r="S33" s="401">
        <f t="shared" si="22"/>
        <v>208167058297.86996</v>
      </c>
      <c r="T33" s="405">
        <f t="shared" si="23"/>
        <v>70133505669.829987</v>
      </c>
      <c r="U33" s="405">
        <f t="shared" si="24"/>
        <v>88595895741.75</v>
      </c>
      <c r="V33" s="22"/>
      <c r="AF33" s="1">
        <f t="shared" si="25"/>
        <v>23479715473.327496</v>
      </c>
    </row>
    <row r="34" spans="1:32" ht="15" customHeight="1" thickBot="1" x14ac:dyDescent="0.2">
      <c r="B34" s="228"/>
      <c r="C34" s="401">
        <v>650880</v>
      </c>
      <c r="D34" s="399">
        <f t="shared" si="11"/>
        <v>136718</v>
      </c>
      <c r="E34" s="305">
        <f t="shared" si="12"/>
        <v>34452138270.869995</v>
      </c>
      <c r="F34" s="305">
        <f t="shared" si="12"/>
        <v>14716583701.359999</v>
      </c>
      <c r="G34" s="305">
        <f t="shared" si="12"/>
        <v>72002396246.270004</v>
      </c>
      <c r="H34" s="389">
        <f t="shared" si="13"/>
        <v>121171118218.5</v>
      </c>
      <c r="I34" s="393">
        <f t="shared" si="14"/>
        <v>119889742215.25</v>
      </c>
      <c r="L34" s="407">
        <f t="shared" si="15"/>
        <v>115800916272.56</v>
      </c>
      <c r="M34" s="398" t="str">
        <f t="shared" si="16"/>
        <v>OK</v>
      </c>
      <c r="N34" s="1">
        <f t="shared" si="17"/>
        <v>34452138270.869995</v>
      </c>
      <c r="O34" s="1">
        <f t="shared" si="18"/>
        <v>14716583701.359999</v>
      </c>
      <c r="P34" s="1">
        <f t="shared" si="19"/>
        <v>72002396246.270004</v>
      </c>
      <c r="Q34" s="1">
        <f t="shared" si="20"/>
        <v>29216477645.970001</v>
      </c>
      <c r="R34" s="406">
        <f t="shared" si="21"/>
        <v>6863369584.4499998</v>
      </c>
      <c r="S34" s="401">
        <f t="shared" si="22"/>
        <v>114307748634.05</v>
      </c>
      <c r="T34" s="405">
        <f t="shared" si="23"/>
        <v>22353108061.52</v>
      </c>
      <c r="U34" s="405">
        <f t="shared" si="24"/>
        <v>27588768686.419994</v>
      </c>
      <c r="V34" s="22"/>
      <c r="AF34" s="1">
        <f t="shared" si="25"/>
        <v>7892875022.1174994</v>
      </c>
    </row>
    <row r="35" spans="1:32" ht="15" customHeight="1" x14ac:dyDescent="0.15">
      <c r="B35" s="228"/>
      <c r="C35" s="401">
        <v>1301760</v>
      </c>
      <c r="D35" s="399">
        <f t="shared" si="11"/>
        <v>71440</v>
      </c>
      <c r="E35" s="305">
        <f t="shared" si="12"/>
        <v>37384217823.690002</v>
      </c>
      <c r="F35" s="305">
        <f t="shared" si="12"/>
        <v>64509891530.840004</v>
      </c>
      <c r="G35" s="305">
        <f>G22*1000000</f>
        <v>196039693195.80002</v>
      </c>
      <c r="H35" s="389">
        <f>(E35+F35+G35)</f>
        <v>297933802550.33002</v>
      </c>
      <c r="I35" s="393">
        <f t="shared" si="14"/>
        <v>293014702007.98999</v>
      </c>
      <c r="L35" s="407">
        <f t="shared" si="15"/>
        <v>290468217559.54004</v>
      </c>
      <c r="M35" s="398" t="str">
        <f>IF(AND(H35/D35&gt;=C35), "OK", "ERROR")</f>
        <v>OK</v>
      </c>
      <c r="N35" s="1">
        <f t="shared" si="17"/>
        <v>37384217823.690002</v>
      </c>
      <c r="O35" s="1">
        <f t="shared" si="18"/>
        <v>64509891530.840004</v>
      </c>
      <c r="P35" s="1">
        <f t="shared" si="19"/>
        <v>196039693195.80002</v>
      </c>
      <c r="Q35" s="1">
        <f t="shared" si="20"/>
        <v>30117878042.68</v>
      </c>
      <c r="R35" s="406">
        <f>(Q22+R22-S22)*1000000</f>
        <v>7617059169.0400009</v>
      </c>
      <c r="S35" s="401">
        <f t="shared" si="22"/>
        <v>290316743381.29004</v>
      </c>
      <c r="T35" s="405">
        <f>Q35-R35</f>
        <v>22500818873.639999</v>
      </c>
      <c r="U35" s="405">
        <f t="shared" si="24"/>
        <v>29767158654.650002</v>
      </c>
      <c r="V35" s="22"/>
      <c r="AF35" s="1">
        <f t="shared" si="25"/>
        <v>8759618044.3959999</v>
      </c>
    </row>
    <row r="36" spans="1:32" ht="15" customHeight="1" x14ac:dyDescent="0.15">
      <c r="B36" s="228"/>
      <c r="F36" s="404">
        <f>SUM(F25:F35)</f>
        <v>207361448862.95999</v>
      </c>
      <c r="G36" s="404">
        <f>SUM(G25:G35)</f>
        <v>632171261700.38</v>
      </c>
      <c r="H36" s="401">
        <f>SUM(H25:H35)</f>
        <v>2132738012256.26</v>
      </c>
      <c r="V36" s="22"/>
    </row>
    <row r="37" spans="1:32" ht="15" customHeight="1" x14ac:dyDescent="0.15">
      <c r="B37" s="228"/>
      <c r="D37" s="78">
        <f>D12+D13</f>
        <v>1787029</v>
      </c>
      <c r="H37" s="410">
        <f>H36/1000000</f>
        <v>2132738.01225626</v>
      </c>
      <c r="J37" s="405"/>
      <c r="L37" s="410"/>
      <c r="V37" s="22"/>
    </row>
    <row r="38" spans="1:32" ht="15" customHeight="1" x14ac:dyDescent="0.15">
      <c r="B38" s="228"/>
      <c r="V38" s="22"/>
    </row>
    <row r="39" spans="1:32" ht="15" customHeight="1" x14ac:dyDescent="0.15">
      <c r="B39" s="228"/>
      <c r="D39" s="78">
        <v>125057.072180844</v>
      </c>
      <c r="H39" s="1">
        <f>(P49_T20_nontaxable!D23+P49_T20_nontaxable!D36+P49_T20_nontaxable!D27)*1000</f>
        <v>75382.694794489988</v>
      </c>
      <c r="I39" s="1">
        <v>42762.579834459997</v>
      </c>
      <c r="V39" s="22"/>
    </row>
    <row r="40" spans="1:32" ht="15" customHeight="1" x14ac:dyDescent="0.15">
      <c r="B40" s="228"/>
      <c r="D40" s="1">
        <f>D35/(D39*1000)</f>
        <v>5.7125917594401388E-4</v>
      </c>
      <c r="H40" s="177">
        <f>H39/H37</f>
        <v>3.5345501585889276E-2</v>
      </c>
      <c r="I40" s="177">
        <f>I39/H37</f>
        <v>2.0050554540086588E-2</v>
      </c>
      <c r="V40" s="22"/>
    </row>
    <row r="41" spans="1:32" ht="15" customHeight="1" x14ac:dyDescent="0.15">
      <c r="B41" s="228"/>
      <c r="C41" s="9"/>
      <c r="V41" s="22"/>
    </row>
    <row r="42" spans="1:32" ht="15" customHeight="1" x14ac:dyDescent="0.15">
      <c r="B42" s="228"/>
      <c r="H42" s="1" t="s">
        <v>562</v>
      </c>
      <c r="V42" s="22"/>
    </row>
    <row r="43" spans="1:32" ht="15" customHeight="1" x14ac:dyDescent="0.15">
      <c r="B43" s="228"/>
      <c r="H43" s="68">
        <v>2063.64</v>
      </c>
      <c r="V43" s="22"/>
    </row>
    <row r="44" spans="1:32" ht="15" customHeight="1" x14ac:dyDescent="0.15">
      <c r="B44" s="228"/>
      <c r="V44" s="22"/>
    </row>
    <row r="45" spans="1:32" ht="15" customHeight="1" thickBot="1" x14ac:dyDescent="0.2">
      <c r="B45" s="139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27"/>
    </row>
    <row r="47" spans="1:32" x14ac:dyDescent="0.15">
      <c r="A47" s="1" t="s">
        <v>575</v>
      </c>
      <c r="H47" s="1" t="s">
        <v>558</v>
      </c>
      <c r="J47" s="1" t="s">
        <v>559</v>
      </c>
      <c r="K47" s="1" t="s">
        <v>560</v>
      </c>
      <c r="M47" s="1" t="s">
        <v>561</v>
      </c>
      <c r="Q47" s="52" t="s">
        <v>584</v>
      </c>
      <c r="R47" s="475" t="s">
        <v>585</v>
      </c>
      <c r="S47" s="39" t="s">
        <v>586</v>
      </c>
      <c r="T47" s="1" t="s">
        <v>587</v>
      </c>
    </row>
    <row r="48" spans="1:32" x14ac:dyDescent="0.15">
      <c r="A48" s="1">
        <f>(E59)/D73</f>
        <v>78201.411317821825</v>
      </c>
      <c r="C48" s="1">
        <f>C25</f>
        <v>0</v>
      </c>
      <c r="D48" s="78">
        <f>D12</f>
        <v>1268688</v>
      </c>
      <c r="E48" s="78">
        <f>((E12+AC12+G12-L12-AF12)*1000000)</f>
        <v>302759300.53479326</v>
      </c>
      <c r="J48" s="1">
        <f>D48/($A$51)</f>
        <v>9.1837145973031539E-3</v>
      </c>
      <c r="K48" s="1">
        <f>J48+K49</f>
        <v>0.1917864399806905</v>
      </c>
      <c r="M48" s="474">
        <f>1-K48</f>
        <v>0.80821356001930944</v>
      </c>
      <c r="P48" s="177">
        <f>(P12*1000000/D12)/($P$23*1000000/$D$23)</f>
        <v>5.9392887380458055E-6</v>
      </c>
      <c r="Q48" s="476">
        <v>0</v>
      </c>
      <c r="R48" s="123">
        <f>D48</f>
        <v>1268688</v>
      </c>
      <c r="S48" s="123">
        <f>((E12+F12+G12)*1000000)</f>
        <v>309621145.92000002</v>
      </c>
      <c r="T48" s="68" t="e">
        <f>SUM(S48:$S$58)/SUM(R48:$R$58)/Q48</f>
        <v>#DIV/0!</v>
      </c>
    </row>
    <row r="49" spans="1:20" x14ac:dyDescent="0.15">
      <c r="C49" s="78">
        <f>SUM(E49:$E$58)/SUM(D49:$D$58)/T49</f>
        <v>3951.9547537649082</v>
      </c>
      <c r="D49" s="78">
        <f t="shared" ref="D49:D58" si="26">D13</f>
        <v>518341</v>
      </c>
      <c r="E49" s="78">
        <f t="shared" ref="E49:E57" si="27">(E13+AC13+G13-L13-AF13)*1000000</f>
        <v>3832222299.0941062</v>
      </c>
      <c r="H49" s="1">
        <f>(SUM(E49:$E$58)/SUM(D49:$D$58))/C49</f>
        <v>20.780203833673593</v>
      </c>
      <c r="J49" s="1">
        <f t="shared" ref="J49:J58" si="28">D49/($A$51)</f>
        <v>3.7521406429955311E-3</v>
      </c>
      <c r="K49" s="1">
        <f t="shared" ref="K49:K57" si="29">J49+K50</f>
        <v>0.18260272538338734</v>
      </c>
      <c r="M49" s="474">
        <f t="shared" ref="M49:M58" si="30">1-K49</f>
        <v>0.81739727461661271</v>
      </c>
      <c r="P49" s="177">
        <f t="shared" ref="P49:P58" si="31">(P13*1000000/D13)/($P$23*1000000/$D$23)</f>
        <v>2.5479032492981312E-5</v>
      </c>
      <c r="Q49" s="476">
        <v>4068</v>
      </c>
      <c r="R49" s="123">
        <f t="shared" ref="R49:R58" si="32">D49</f>
        <v>518341</v>
      </c>
      <c r="S49" s="123">
        <f t="shared" ref="S49:S58" si="33">((E13+F13+G13)*1000000)</f>
        <v>3856349636.8300004</v>
      </c>
      <c r="T49" s="68">
        <f>SUM(S49:$S$58)/SUM(R49:$R$58)/Q49</f>
        <v>20.780203833673593</v>
      </c>
    </row>
    <row r="50" spans="1:20" x14ac:dyDescent="0.15">
      <c r="A50" s="1" t="s">
        <v>581</v>
      </c>
      <c r="C50" s="78">
        <f>SUM(E50:$E$58)/SUM(D50:$D$58)/T50</f>
        <v>7903.5812489353602</v>
      </c>
      <c r="D50" s="78">
        <f t="shared" si="26"/>
        <v>1075827</v>
      </c>
      <c r="E50" s="78">
        <f t="shared" si="27"/>
        <v>13364994700.841433</v>
      </c>
      <c r="H50" s="1">
        <f>(SUM(E50:$E$58)/SUM(D50:$D$58))/C50</f>
        <v>10.588893876266257</v>
      </c>
      <c r="J50" s="1">
        <f t="shared" si="28"/>
        <v>7.7876421342937437E-3</v>
      </c>
      <c r="K50" s="1">
        <f t="shared" si="29"/>
        <v>0.17885058474039181</v>
      </c>
      <c r="M50" s="474">
        <f t="shared" si="30"/>
        <v>0.82114941525960816</v>
      </c>
      <c r="P50" s="177">
        <f t="shared" si="31"/>
        <v>7.8854194083641032E-5</v>
      </c>
      <c r="Q50" s="476">
        <v>8136</v>
      </c>
      <c r="R50" s="123">
        <f t="shared" si="32"/>
        <v>1075827</v>
      </c>
      <c r="S50" s="123">
        <f t="shared" si="33"/>
        <v>13547370090.840002</v>
      </c>
      <c r="T50" s="68">
        <f>SUM(S50:$S$58)/SUM(R50:$R$58)/Q50</f>
        <v>10.588893876266257</v>
      </c>
    </row>
    <row r="51" spans="1:20" x14ac:dyDescent="0.15">
      <c r="A51" s="473">
        <v>138145408</v>
      </c>
      <c r="C51" s="78">
        <f>SUM(E51:$E$58)/SUM(D51:$D$58)/T51</f>
        <v>15805.588183692525</v>
      </c>
      <c r="D51" s="78">
        <f t="shared" si="26"/>
        <v>2692915</v>
      </c>
      <c r="E51" s="78">
        <f t="shared" si="27"/>
        <v>57373559879.729607</v>
      </c>
      <c r="H51" s="1">
        <f>(SUM(E51:$E$58)/SUM(D51:$D$58))/C51</f>
        <v>5.5002459546659352</v>
      </c>
      <c r="J51" s="1">
        <f t="shared" si="28"/>
        <v>1.9493337049610798E-2</v>
      </c>
      <c r="K51" s="1">
        <f t="shared" si="29"/>
        <v>0.17106294260609806</v>
      </c>
      <c r="M51" s="474">
        <f t="shared" si="30"/>
        <v>0.82893705739390189</v>
      </c>
      <c r="P51" s="177">
        <f t="shared" si="31"/>
        <v>1.6208980188369576E-4</v>
      </c>
      <c r="Q51" s="476">
        <v>16272</v>
      </c>
      <c r="R51" s="123">
        <f t="shared" si="32"/>
        <v>2692915</v>
      </c>
      <c r="S51" s="123">
        <f t="shared" si="33"/>
        <v>57843418000.530006</v>
      </c>
      <c r="T51" s="68">
        <f>SUM(S51:$S$58)/SUM(R51:$R$58)/Q51</f>
        <v>5.5002459546659352</v>
      </c>
    </row>
    <row r="52" spans="1:20" x14ac:dyDescent="0.15">
      <c r="A52" s="1" t="s">
        <v>582</v>
      </c>
      <c r="C52" s="78">
        <f>SUM(E52:$E$58)/SUM(D52:$D$58)/T52</f>
        <v>23694.28532447217</v>
      </c>
      <c r="D52" s="78">
        <f t="shared" si="26"/>
        <v>7882026</v>
      </c>
      <c r="E52" s="78">
        <f t="shared" si="27"/>
        <v>247577363997.32401</v>
      </c>
      <c r="H52" s="1">
        <f>(SUM(E52:$E$58)/SUM(D52:$D$58))/C52</f>
        <v>4.0252400912903923</v>
      </c>
      <c r="J52" s="1">
        <f t="shared" si="28"/>
        <v>5.7056011590338206E-2</v>
      </c>
      <c r="K52" s="1">
        <f t="shared" si="29"/>
        <v>0.15156960555648727</v>
      </c>
      <c r="M52" s="474">
        <f t="shared" si="30"/>
        <v>0.84843039444351276</v>
      </c>
      <c r="P52" s="177">
        <f t="shared" si="31"/>
        <v>3.4750586995067098E-2</v>
      </c>
      <c r="Q52" s="476">
        <v>24408</v>
      </c>
      <c r="R52" s="123">
        <f t="shared" si="32"/>
        <v>7882026</v>
      </c>
      <c r="S52" s="123">
        <f t="shared" si="33"/>
        <v>250018380409.03</v>
      </c>
      <c r="T52" s="68">
        <f>SUM(S52:$S$58)/SUM(R52:$R$58)/Q52</f>
        <v>4.0252400912903923</v>
      </c>
    </row>
    <row r="53" spans="1:20" x14ac:dyDescent="0.15">
      <c r="A53" s="78">
        <v>3290130994460.5488</v>
      </c>
      <c r="C53" s="78">
        <f>SUM(E53:$E$58)/SUM(D53:$D$58)/T53</f>
        <v>39380.854856296428</v>
      </c>
      <c r="D53" s="78">
        <f t="shared" si="26"/>
        <v>7300376</v>
      </c>
      <c r="E53" s="78">
        <f t="shared" si="27"/>
        <v>412009072703.97296</v>
      </c>
      <c r="H53" s="1">
        <f>(SUM(E53:$E$58)/SUM(D53:$D$58))/C53</f>
        <v>3.40240196184152</v>
      </c>
      <c r="J53" s="1">
        <f t="shared" si="28"/>
        <v>5.284559295666201E-2</v>
      </c>
      <c r="K53" s="1">
        <f t="shared" si="29"/>
        <v>9.4513593966149057E-2</v>
      </c>
      <c r="M53" s="474">
        <f t="shared" si="30"/>
        <v>0.905486406033851</v>
      </c>
      <c r="P53" s="177">
        <f t="shared" si="31"/>
        <v>0.38556012028269615</v>
      </c>
      <c r="Q53" s="476">
        <v>40680</v>
      </c>
      <c r="R53" s="123">
        <f t="shared" si="32"/>
        <v>7300376</v>
      </c>
      <c r="S53" s="123">
        <f t="shared" si="33"/>
        <v>418815171863.83997</v>
      </c>
      <c r="T53" s="68">
        <f>SUM(S53:$S$58)/SUM(R53:$R$58)/Q53</f>
        <v>3.40240196184152</v>
      </c>
    </row>
    <row r="54" spans="1:20" x14ac:dyDescent="0.15">
      <c r="A54" s="1" t="s">
        <v>583</v>
      </c>
      <c r="C54" s="78">
        <f>SUM(E54:$E$58)/SUM(D54:$D$58)/T54</f>
        <v>78376.74911144175</v>
      </c>
      <c r="D54" s="78">
        <f t="shared" si="26"/>
        <v>3522174</v>
      </c>
      <c r="E54" s="78">
        <f t="shared" si="27"/>
        <v>391259216505.72229</v>
      </c>
      <c r="H54" s="1">
        <f>(SUM(E54:$E$58)/SUM(D54:$D$58))/C54</f>
        <v>2.9644776891404292</v>
      </c>
      <c r="J54" s="1">
        <f t="shared" si="28"/>
        <v>2.5496135202698885E-2</v>
      </c>
      <c r="K54" s="1">
        <f t="shared" si="29"/>
        <v>4.1668001009487046E-2</v>
      </c>
      <c r="M54" s="474">
        <f t="shared" si="30"/>
        <v>0.95833199899051291</v>
      </c>
      <c r="P54" s="177">
        <f t="shared" si="31"/>
        <v>2.0095587289837558</v>
      </c>
      <c r="Q54" s="476">
        <v>81360</v>
      </c>
      <c r="R54" s="123">
        <f t="shared" si="32"/>
        <v>3522174</v>
      </c>
      <c r="S54" s="123">
        <f t="shared" si="33"/>
        <v>399586799246.37006</v>
      </c>
      <c r="T54" s="68">
        <f>SUM(S54:$S$58)/SUM(R54:$R$58)/Q54</f>
        <v>2.9644776891404292</v>
      </c>
    </row>
    <row r="55" spans="1:20" x14ac:dyDescent="0.15">
      <c r="A55" s="1">
        <f>A53/(A51)</f>
        <v>23816.434017557418</v>
      </c>
      <c r="C55" s="78">
        <f>SUM(E55:$E$58)/SUM(D55:$D$58)/T55</f>
        <v>155712.72984063989</v>
      </c>
      <c r="D55" s="78">
        <f t="shared" si="26"/>
        <v>1507344</v>
      </c>
      <c r="E55" s="78">
        <f t="shared" si="27"/>
        <v>331596772355.65692</v>
      </c>
      <c r="H55" s="1">
        <f>(SUM(E55:$E$58)/SUM(D55:$D$58))/C55</f>
        <v>2.7199051983494744</v>
      </c>
      <c r="J55" s="1">
        <f t="shared" si="28"/>
        <v>1.0911285592641632E-2</v>
      </c>
      <c r="K55" s="1">
        <f t="shared" si="29"/>
        <v>1.6171865806788165E-2</v>
      </c>
      <c r="M55" s="474">
        <f t="shared" si="30"/>
        <v>0.9838281341932118</v>
      </c>
      <c r="P55" s="177">
        <f t="shared" si="31"/>
        <v>5.3537292478609215</v>
      </c>
      <c r="Q55" s="476">
        <v>162720</v>
      </c>
      <c r="R55" s="123">
        <f t="shared" si="32"/>
        <v>1507344</v>
      </c>
      <c r="S55" s="123">
        <f t="shared" si="33"/>
        <v>341071778906.35004</v>
      </c>
      <c r="T55" s="68">
        <f>SUM(S55:$S$58)/SUM(R55:$R$58)/Q55</f>
        <v>2.7199051983494744</v>
      </c>
    </row>
    <row r="56" spans="1:20" x14ac:dyDescent="0.15">
      <c r="C56" s="78">
        <f>SUM(E56:$E$58)/SUM(D56:$D$58)/T56</f>
        <v>308806.27401785634</v>
      </c>
      <c r="D56" s="78">
        <f t="shared" si="26"/>
        <v>518567</v>
      </c>
      <c r="E56" s="78">
        <f t="shared" si="27"/>
        <v>219069436779.54276</v>
      </c>
      <c r="H56" s="1">
        <f>(SUM(E56:$E$58)/SUM(D56:$D$58))/C56</f>
        <v>2.7385808813407397</v>
      </c>
      <c r="J56" s="1">
        <f t="shared" si="28"/>
        <v>3.7537766003774807E-3</v>
      </c>
      <c r="K56" s="1">
        <f t="shared" si="29"/>
        <v>5.260580214146532E-3</v>
      </c>
      <c r="M56" s="474">
        <f t="shared" si="30"/>
        <v>0.99473941978585345</v>
      </c>
      <c r="P56" s="177">
        <f t="shared" si="31"/>
        <v>9.2871901000573889</v>
      </c>
      <c r="Q56" s="476">
        <v>325440</v>
      </c>
      <c r="R56" s="123">
        <f t="shared" si="32"/>
        <v>518567</v>
      </c>
      <c r="S56" s="123">
        <f t="shared" si="33"/>
        <v>228584202187.72</v>
      </c>
      <c r="T56" s="68">
        <f>SUM(S56:$S$58)/SUM(R56:$R$58)/Q56</f>
        <v>2.7385808813407397</v>
      </c>
    </row>
    <row r="57" spans="1:20" x14ac:dyDescent="0.15">
      <c r="C57" s="78">
        <f>SUM(E57:$E$58)/SUM(D57:$D$58)/T57</f>
        <v>614244.79121097492</v>
      </c>
      <c r="D57" s="78">
        <f t="shared" si="26"/>
        <v>136718</v>
      </c>
      <c r="E57" s="78">
        <f t="shared" si="27"/>
        <v>114157498975.44751</v>
      </c>
      <c r="H57" s="1">
        <f>(SUM(E57:$E$58)/SUM(D57:$D$58))/C57</f>
        <v>3.0933476148100727</v>
      </c>
      <c r="J57" s="1">
        <f t="shared" si="28"/>
        <v>9.8966735108560401E-4</v>
      </c>
      <c r="K57" s="1">
        <f t="shared" si="29"/>
        <v>1.5068036137690513E-3</v>
      </c>
      <c r="M57" s="474">
        <f t="shared" si="30"/>
        <v>0.99849319638623091</v>
      </c>
      <c r="P57" s="177">
        <f t="shared" si="31"/>
        <v>12.001117301454084</v>
      </c>
      <c r="Q57" s="476">
        <v>650880</v>
      </c>
      <c r="R57" s="123">
        <f t="shared" si="32"/>
        <v>136718</v>
      </c>
      <c r="S57" s="123">
        <f t="shared" si="33"/>
        <v>121171118218.5</v>
      </c>
      <c r="T57" s="68">
        <f>SUM(S57:$S$58)/SUM(R57:$R$58)/Q57</f>
        <v>3.0933476148100727</v>
      </c>
    </row>
    <row r="58" spans="1:20" x14ac:dyDescent="0.15">
      <c r="C58" s="78">
        <f>SUM(E58:$E$58)/SUM(D58:$D$58)/T58</f>
        <v>1229334.7049069176</v>
      </c>
      <c r="D58" s="78">
        <f t="shared" si="26"/>
        <v>71440</v>
      </c>
      <c r="E58" s="78">
        <f>(E22+AC22+G22-L22-AF22)*1000000</f>
        <v>281357825743.6131</v>
      </c>
      <c r="H58" s="1">
        <f>(SUM(E58:$E$58)/SUM(D58:$D$58))/C58</f>
        <v>3.2036673202044157</v>
      </c>
      <c r="J58" s="1">
        <f t="shared" si="28"/>
        <v>5.1713626268344733E-4</v>
      </c>
      <c r="K58" s="1">
        <f>J58+K59</f>
        <v>5.1713626268344733E-4</v>
      </c>
      <c r="M58" s="474">
        <f t="shared" si="30"/>
        <v>0.99948286373731654</v>
      </c>
      <c r="P58" s="177">
        <f t="shared" si="31"/>
        <v>25.203091009732908</v>
      </c>
      <c r="Q58" s="476">
        <v>1301760</v>
      </c>
      <c r="R58" s="123">
        <f t="shared" si="32"/>
        <v>71440</v>
      </c>
      <c r="S58" s="123">
        <f t="shared" si="33"/>
        <v>297933802550.33002</v>
      </c>
      <c r="T58" s="68">
        <f>SUM(S58:$S$58)/SUM(R58:$R$58)/Q58</f>
        <v>3.2036673202044157</v>
      </c>
    </row>
    <row r="59" spans="1:20" x14ac:dyDescent="0.15">
      <c r="D59" s="1">
        <f>SUM(D48:D58)</f>
        <v>26494416</v>
      </c>
      <c r="E59" s="78">
        <f>SUM(E48:E58)</f>
        <v>2071900723241.4795</v>
      </c>
    </row>
    <row r="61" spans="1:20" x14ac:dyDescent="0.15">
      <c r="D61" s="1" t="s">
        <v>564</v>
      </c>
      <c r="E61" s="1" t="s">
        <v>563</v>
      </c>
      <c r="F61" s="1" t="s">
        <v>566</v>
      </c>
      <c r="G61" s="1" t="s">
        <v>565</v>
      </c>
      <c r="I61" s="1" t="s">
        <v>576</v>
      </c>
      <c r="J61" s="1" t="s">
        <v>567</v>
      </c>
      <c r="K61" s="1" t="s">
        <v>568</v>
      </c>
    </row>
    <row r="62" spans="1:20" x14ac:dyDescent="0.15">
      <c r="C62" s="1">
        <f>C48</f>
        <v>0</v>
      </c>
      <c r="D62" s="78">
        <f>D12</f>
        <v>1268688</v>
      </c>
      <c r="E62" s="1">
        <f>(I12*1000000/$H$43)</f>
        <v>68219</v>
      </c>
      <c r="F62" s="1">
        <f>'[1]Tabela 6.2'!J41</f>
        <v>0.24952015436023062</v>
      </c>
      <c r="G62" s="1">
        <f>(E62)*F62</f>
        <v>17022.015410300573</v>
      </c>
      <c r="I62" s="1">
        <f>M48</f>
        <v>0.80821356001930944</v>
      </c>
      <c r="J62" s="78">
        <f>E48/D62</f>
        <v>238.63968173009695</v>
      </c>
      <c r="K62" s="1">
        <f t="shared" ref="K62:K72" si="34">(D62-G62)/D62</f>
        <v>0.98658297752457613</v>
      </c>
      <c r="L62" s="1">
        <f>(D73-G73)/D73</f>
        <v>0.78293546455481933</v>
      </c>
    </row>
    <row r="63" spans="1:20" x14ac:dyDescent="0.15">
      <c r="C63" s="1">
        <f t="shared" ref="C63:C72" si="35">C49</f>
        <v>3951.9547537649082</v>
      </c>
      <c r="D63" s="78">
        <f t="shared" ref="D63:D72" si="36">D13</f>
        <v>518341</v>
      </c>
      <c r="E63" s="1">
        <f t="shared" ref="E63:E72" si="37">I13*1000000/$H$43</f>
        <v>32579.000000000004</v>
      </c>
      <c r="F63" s="1">
        <f>'[1]Tabela 6.2'!J42</f>
        <v>0.30259496985855078</v>
      </c>
      <c r="G63" s="1">
        <f t="shared" ref="G63:G72" si="38">E63*F63</f>
        <v>9858.2415230217266</v>
      </c>
      <c r="I63" s="1">
        <f t="shared" ref="I63:I72" si="39">M49</f>
        <v>0.81739727461661271</v>
      </c>
      <c r="J63" s="78">
        <f t="shared" ref="J63:J72" si="40">E49/D49</f>
        <v>7393.2455643950725</v>
      </c>
      <c r="K63" s="1">
        <f t="shared" si="34"/>
        <v>0.98098116582901662</v>
      </c>
    </row>
    <row r="64" spans="1:20" x14ac:dyDescent="0.15">
      <c r="C64" s="1">
        <f t="shared" si="35"/>
        <v>7903.5812489353602</v>
      </c>
      <c r="D64" s="78">
        <f t="shared" si="36"/>
        <v>1075827</v>
      </c>
      <c r="E64" s="1">
        <f t="shared" si="37"/>
        <v>109032</v>
      </c>
      <c r="F64" s="1">
        <f>'[1]Tabela 6.2'!J43</f>
        <v>0.31597051711526186</v>
      </c>
      <c r="G64" s="1">
        <f t="shared" si="38"/>
        <v>34450.897422111229</v>
      </c>
      <c r="I64" s="1">
        <f t="shared" si="39"/>
        <v>0.82114941525960816</v>
      </c>
      <c r="J64" s="78">
        <f t="shared" si="40"/>
        <v>12422.996170240598</v>
      </c>
      <c r="K64" s="1">
        <f t="shared" si="34"/>
        <v>0.96797728870709576</v>
      </c>
    </row>
    <row r="65" spans="2:11" x14ac:dyDescent="0.15">
      <c r="C65" s="1">
        <f t="shared" si="35"/>
        <v>15805.588183692525</v>
      </c>
      <c r="D65" s="78">
        <f t="shared" si="36"/>
        <v>2692915</v>
      </c>
      <c r="E65" s="1">
        <f t="shared" si="37"/>
        <v>297969</v>
      </c>
      <c r="F65" s="1">
        <f>'[1]Tabela 6.2'!J44</f>
        <v>0.36270081657721487</v>
      </c>
      <c r="G65" s="1">
        <f t="shared" si="38"/>
        <v>108073.59961469614</v>
      </c>
      <c r="I65" s="1">
        <f t="shared" si="39"/>
        <v>0.82893705739390189</v>
      </c>
      <c r="J65" s="78">
        <f t="shared" si="40"/>
        <v>21305.373500362843</v>
      </c>
      <c r="K65" s="1">
        <f t="shared" si="34"/>
        <v>0.95986743004710651</v>
      </c>
    </row>
    <row r="66" spans="2:11" x14ac:dyDescent="0.15">
      <c r="C66" s="1">
        <f t="shared" si="35"/>
        <v>23694.28532447217</v>
      </c>
      <c r="D66" s="78">
        <f t="shared" si="36"/>
        <v>7882026</v>
      </c>
      <c r="E66" s="1">
        <f t="shared" si="37"/>
        <v>3739759.0000000005</v>
      </c>
      <c r="F66" s="1">
        <f>'[1]Tabela 6.2'!J45</f>
        <v>0.37959055059648766</v>
      </c>
      <c r="G66" s="1">
        <f t="shared" si="38"/>
        <v>1419577.1779081703</v>
      </c>
      <c r="I66" s="1">
        <f t="shared" si="39"/>
        <v>0.84843039444351276</v>
      </c>
      <c r="J66" s="78">
        <f t="shared" si="40"/>
        <v>31410.371394020269</v>
      </c>
      <c r="K66" s="1">
        <f t="shared" si="34"/>
        <v>0.81989691763156203</v>
      </c>
    </row>
    <row r="67" spans="2:11" x14ac:dyDescent="0.15">
      <c r="C67" s="1">
        <f t="shared" si="35"/>
        <v>39380.854856296428</v>
      </c>
      <c r="D67" s="78">
        <f t="shared" si="36"/>
        <v>7300376</v>
      </c>
      <c r="E67" s="1">
        <f t="shared" si="37"/>
        <v>5746278</v>
      </c>
      <c r="F67" s="1">
        <f>'[1]Tabela 6.2'!J46</f>
        <v>0.38885036842730075</v>
      </c>
      <c r="G67" s="1">
        <f t="shared" si="38"/>
        <v>2234442.3173856931</v>
      </c>
      <c r="I67" s="1">
        <f t="shared" si="39"/>
        <v>0.905486406033851</v>
      </c>
      <c r="J67" s="78">
        <f t="shared" si="40"/>
        <v>56436.692124347152</v>
      </c>
      <c r="K67" s="1">
        <f t="shared" si="34"/>
        <v>0.69392777613294254</v>
      </c>
    </row>
    <row r="68" spans="2:11" x14ac:dyDescent="0.15">
      <c r="C68" s="1">
        <f t="shared" si="35"/>
        <v>78376.74911144175</v>
      </c>
      <c r="D68" s="78">
        <f t="shared" si="36"/>
        <v>3522174</v>
      </c>
      <c r="E68" s="1">
        <f t="shared" si="37"/>
        <v>2880500</v>
      </c>
      <c r="F68" s="1">
        <f>'[1]Tabela 6.2'!J47</f>
        <v>0.40338662979911244</v>
      </c>
      <c r="G68" s="1">
        <f t="shared" si="38"/>
        <v>1161955.1871363434</v>
      </c>
      <c r="I68" s="1">
        <f t="shared" si="39"/>
        <v>0.95833199899051291</v>
      </c>
      <c r="J68" s="78">
        <f t="shared" si="40"/>
        <v>111084.57915643074</v>
      </c>
      <c r="K68" s="1">
        <f t="shared" si="34"/>
        <v>0.67010284354596228</v>
      </c>
    </row>
    <row r="69" spans="2:11" x14ac:dyDescent="0.15">
      <c r="C69" s="1">
        <f t="shared" si="35"/>
        <v>155712.72984063989</v>
      </c>
      <c r="D69" s="78">
        <f t="shared" si="36"/>
        <v>1507344</v>
      </c>
      <c r="E69" s="1">
        <f t="shared" si="37"/>
        <v>1273600</v>
      </c>
      <c r="F69" s="1">
        <f>'[1]Tabela 6.2'!J48</f>
        <v>0.41391281040326483</v>
      </c>
      <c r="G69" s="1">
        <f t="shared" si="38"/>
        <v>527159.35532959807</v>
      </c>
      <c r="I69" s="1">
        <f t="shared" si="39"/>
        <v>0.9838281341932118</v>
      </c>
      <c r="J69" s="78">
        <f t="shared" si="40"/>
        <v>219987.45631764011</v>
      </c>
      <c r="K69" s="1">
        <f t="shared" si="34"/>
        <v>0.65027269466717741</v>
      </c>
    </row>
    <row r="70" spans="2:11" x14ac:dyDescent="0.15">
      <c r="C70" s="1">
        <f t="shared" si="35"/>
        <v>308806.27401785634</v>
      </c>
      <c r="D70" s="78">
        <f t="shared" si="36"/>
        <v>518567</v>
      </c>
      <c r="E70" s="1">
        <f t="shared" si="37"/>
        <v>428196.00000000006</v>
      </c>
      <c r="F70" s="1">
        <f>F69</f>
        <v>0.41391281040326483</v>
      </c>
      <c r="G70" s="1">
        <f t="shared" si="38"/>
        <v>177235.80976343641</v>
      </c>
      <c r="I70" s="1">
        <f t="shared" si="39"/>
        <v>0.99473941978585345</v>
      </c>
      <c r="J70" s="78">
        <f t="shared" si="40"/>
        <v>422451.55742564175</v>
      </c>
      <c r="K70" s="1">
        <f t="shared" si="34"/>
        <v>0.6582200375970001</v>
      </c>
    </row>
    <row r="71" spans="2:11" x14ac:dyDescent="0.15">
      <c r="C71" s="1">
        <f t="shared" si="35"/>
        <v>614244.79121097492</v>
      </c>
      <c r="D71" s="78">
        <f t="shared" si="36"/>
        <v>136718</v>
      </c>
      <c r="E71" s="1">
        <f t="shared" si="37"/>
        <v>99391.000000000015</v>
      </c>
      <c r="F71" s="1">
        <f t="shared" ref="F71:F72" si="41">F70</f>
        <v>0.41391281040326483</v>
      </c>
      <c r="G71" s="1">
        <f t="shared" si="38"/>
        <v>41139.208138790898</v>
      </c>
      <c r="I71" s="1">
        <f t="shared" si="39"/>
        <v>0.99849319638623091</v>
      </c>
      <c r="J71" s="78">
        <f t="shared" si="40"/>
        <v>834985.14442463696</v>
      </c>
      <c r="K71" s="1">
        <f t="shared" si="34"/>
        <v>0.69909442693141433</v>
      </c>
    </row>
    <row r="72" spans="2:11" x14ac:dyDescent="0.15">
      <c r="C72" s="1">
        <f t="shared" si="35"/>
        <v>1229334.7049069176</v>
      </c>
      <c r="D72" s="78">
        <f t="shared" si="36"/>
        <v>71440</v>
      </c>
      <c r="E72" s="1">
        <f t="shared" si="37"/>
        <v>48523</v>
      </c>
      <c r="F72" s="1">
        <f t="shared" si="41"/>
        <v>0.41391281040326483</v>
      </c>
      <c r="G72" s="1">
        <f t="shared" si="38"/>
        <v>20084.291299197619</v>
      </c>
      <c r="I72" s="1">
        <f t="shared" si="39"/>
        <v>0.99948286373731654</v>
      </c>
      <c r="J72" s="78">
        <f t="shared" si="40"/>
        <v>3938379.419703431</v>
      </c>
      <c r="K72" s="1">
        <f t="shared" si="34"/>
        <v>0.71886490342668508</v>
      </c>
    </row>
    <row r="73" spans="2:11" x14ac:dyDescent="0.15">
      <c r="D73" s="78">
        <f>SUM(D62:D72)</f>
        <v>26494416</v>
      </c>
      <c r="E73" s="78">
        <f>SUM(E62:E72)</f>
        <v>14724046</v>
      </c>
      <c r="G73" s="1">
        <f>SUM(G62:G72)</f>
        <v>5750998.1009313595</v>
      </c>
    </row>
    <row r="74" spans="2:11" x14ac:dyDescent="0.15">
      <c r="D74" s="78">
        <f>D23</f>
        <v>26494416</v>
      </c>
      <c r="E74" s="78">
        <f>(I23)*1000000/H43</f>
        <v>14724046</v>
      </c>
    </row>
    <row r="77" spans="2:11" x14ac:dyDescent="0.15">
      <c r="B77" s="78"/>
      <c r="C77" s="466"/>
    </row>
    <row r="79" spans="2:11" x14ac:dyDescent="0.15">
      <c r="C79" s="78"/>
      <c r="D79" s="78"/>
      <c r="E79" s="78"/>
    </row>
    <row r="84" spans="3:11" x14ac:dyDescent="0.15">
      <c r="C84" s="78"/>
      <c r="D84" s="78"/>
      <c r="E84" s="78"/>
      <c r="F84" s="78"/>
      <c r="G84" s="467"/>
      <c r="H84" s="78"/>
      <c r="I84" s="468"/>
      <c r="J84" s="467"/>
      <c r="K84" s="78"/>
    </row>
    <row r="85" spans="3:11" x14ac:dyDescent="0.15">
      <c r="C85" s="78"/>
      <c r="D85" s="78"/>
      <c r="E85" s="78"/>
      <c r="F85" s="78"/>
      <c r="G85" s="467"/>
      <c r="H85" s="78"/>
      <c r="I85" s="468"/>
      <c r="K85" s="78"/>
    </row>
    <row r="86" spans="3:11" x14ac:dyDescent="0.15">
      <c r="C86" s="78"/>
      <c r="D86" s="78"/>
      <c r="E86" s="78"/>
      <c r="F86" s="78"/>
      <c r="G86" s="467"/>
      <c r="H86" s="78"/>
      <c r="I86" s="468"/>
      <c r="K86" s="78"/>
    </row>
    <row r="87" spans="3:11" x14ac:dyDescent="0.15">
      <c r="C87" s="78"/>
      <c r="D87" s="78"/>
      <c r="E87" s="78"/>
      <c r="F87" s="78"/>
      <c r="G87" s="467"/>
      <c r="H87" s="78"/>
      <c r="I87" s="468"/>
      <c r="K87" s="78"/>
    </row>
    <row r="88" spans="3:11" x14ac:dyDescent="0.15">
      <c r="C88" s="78"/>
      <c r="D88" s="78"/>
      <c r="E88" s="78"/>
      <c r="F88" s="78"/>
      <c r="G88" s="467"/>
      <c r="H88" s="78"/>
      <c r="I88" s="468"/>
      <c r="K88" s="78"/>
    </row>
    <row r="89" spans="3:11" x14ac:dyDescent="0.15">
      <c r="C89" s="78"/>
      <c r="D89" s="78"/>
      <c r="E89" s="78"/>
      <c r="F89" s="78"/>
      <c r="G89" s="467"/>
      <c r="H89" s="78"/>
      <c r="I89" s="468"/>
      <c r="K89" s="78"/>
    </row>
    <row r="90" spans="3:11" x14ac:dyDescent="0.15">
      <c r="C90" s="78"/>
      <c r="D90" s="78"/>
      <c r="E90" s="78"/>
      <c r="F90" s="78"/>
      <c r="G90" s="467"/>
      <c r="H90" s="78"/>
      <c r="I90" s="468"/>
      <c r="K90" s="78"/>
    </row>
    <row r="91" spans="3:11" x14ac:dyDescent="0.15">
      <c r="C91" s="78"/>
      <c r="D91" s="78"/>
      <c r="E91" s="78"/>
      <c r="F91" s="78"/>
      <c r="G91" s="467"/>
      <c r="H91" s="78"/>
      <c r="I91" s="468"/>
      <c r="K91" s="78"/>
    </row>
    <row r="92" spans="3:11" x14ac:dyDescent="0.15">
      <c r="C92" s="78"/>
      <c r="D92" s="78"/>
      <c r="E92" s="78"/>
      <c r="F92" s="78"/>
      <c r="G92" s="467"/>
      <c r="H92" s="78"/>
      <c r="I92" s="468"/>
      <c r="K92" s="78"/>
    </row>
    <row r="93" spans="3:11" x14ac:dyDescent="0.15">
      <c r="C93" s="78"/>
      <c r="D93" s="78"/>
      <c r="E93" s="78"/>
      <c r="F93" s="78"/>
      <c r="G93" s="467"/>
      <c r="H93" s="78"/>
      <c r="I93" s="468"/>
      <c r="K93" s="78"/>
    </row>
  </sheetData>
  <mergeCells count="13">
    <mergeCell ref="U10:U11"/>
    <mergeCell ref="T10:T11"/>
    <mergeCell ref="C10:C11"/>
    <mergeCell ref="D10:D11"/>
    <mergeCell ref="E10:E11"/>
    <mergeCell ref="F10:F11"/>
    <mergeCell ref="G10:G11"/>
    <mergeCell ref="H10:N10"/>
    <mergeCell ref="O10:O11"/>
    <mergeCell ref="P10:P11"/>
    <mergeCell ref="Q10:Q11"/>
    <mergeCell ref="R10:R11"/>
    <mergeCell ref="S10:S11"/>
  </mergeCells>
  <phoneticPr fontId="14" type="noConversion"/>
  <pageMargins left="0.25" right="0.25" top="0.75" bottom="0.75" header="0.3" footer="0.3"/>
  <pageSetup paperSize="9" scale="8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Rangos con nombre</vt:lpstr>
      </vt:variant>
      <vt:variant>
        <vt:i4>42</vt:i4>
      </vt:variant>
    </vt:vector>
  </HeadingPairs>
  <TitlesOfParts>
    <vt:vector size="67" baseType="lpstr">
      <vt:lpstr>P1_T1</vt:lpstr>
      <vt:lpstr>P2_T2</vt:lpstr>
      <vt:lpstr>P3_T3_gender</vt:lpstr>
      <vt:lpstr>P4_P5_T4_age</vt:lpstr>
      <vt:lpstr>P6_P7_T5</vt:lpstr>
      <vt:lpstr>P8_P9_T6</vt:lpstr>
      <vt:lpstr>P10_P11_T7</vt:lpstr>
      <vt:lpstr>P12_P13_T8</vt:lpstr>
      <vt:lpstr>P14_P15_T9</vt:lpstr>
      <vt:lpstr>P16_P17_T10</vt:lpstr>
      <vt:lpstr>P18_T11</vt:lpstr>
      <vt:lpstr>P19-26_T12</vt:lpstr>
      <vt:lpstr>P27_40_T13</vt:lpstr>
      <vt:lpstr>P41_T14</vt:lpstr>
      <vt:lpstr>P42_T14</vt:lpstr>
      <vt:lpstr>P43_T14</vt:lpstr>
      <vt:lpstr>P44_T15</vt:lpstr>
      <vt:lpstr>P45_T16</vt:lpstr>
      <vt:lpstr>P46_T17</vt:lpstr>
      <vt:lpstr>P47_T18</vt:lpstr>
      <vt:lpstr>P48_T19_taxed excl </vt:lpstr>
      <vt:lpstr>P49_T20_nontaxable</vt:lpstr>
      <vt:lpstr>P50_T21</vt:lpstr>
      <vt:lpstr>P51_T22</vt:lpstr>
      <vt:lpstr>P52_T23</vt:lpstr>
      <vt:lpstr>P1_T1!__xlnm.Print_Area</vt:lpstr>
      <vt:lpstr>'P19-26_T12'!__xlnm.Print_Area</vt:lpstr>
      <vt:lpstr>P2_T2!__xlnm.Print_Area</vt:lpstr>
      <vt:lpstr>P27_40_T13!__xlnm.Print_Area</vt:lpstr>
      <vt:lpstr>P3_T3_gender!__xlnm.Print_Area</vt:lpstr>
      <vt:lpstr>P4_P5_T4_age!__xlnm.Print_Area</vt:lpstr>
      <vt:lpstr>P41_T14!__xlnm.Print_Area</vt:lpstr>
      <vt:lpstr>P44_T15!__xlnm.Print_Area</vt:lpstr>
      <vt:lpstr>P45_T16!__xlnm.Print_Area</vt:lpstr>
      <vt:lpstr>P46_T17!__xlnm.Print_Area</vt:lpstr>
      <vt:lpstr>P47_T18!__xlnm.Print_Area</vt:lpstr>
      <vt:lpstr>'P48_T19_taxed excl '!__xlnm.Print_Area</vt:lpstr>
      <vt:lpstr>P49_T20_nontaxable!__xlnm.Print_Area</vt:lpstr>
      <vt:lpstr>P50_T21!__xlnm.Print_Area</vt:lpstr>
      <vt:lpstr>P51_T22!__xlnm.Print_Area</vt:lpstr>
      <vt:lpstr>P52_T23!__xlnm.Print_Area</vt:lpstr>
      <vt:lpstr>P6_P7_T5!__xlnm.Print_Area</vt:lpstr>
      <vt:lpstr>P1_T1!Área_de_impresión</vt:lpstr>
      <vt:lpstr>P10_P11_T7!Área_de_impresión</vt:lpstr>
      <vt:lpstr>P12_P13_T8!Área_de_impresión</vt:lpstr>
      <vt:lpstr>P14_P15_T9!Área_de_impresión</vt:lpstr>
      <vt:lpstr>P16_P17_T10!Área_de_impresión</vt:lpstr>
      <vt:lpstr>P18_T11!Área_de_impresión</vt:lpstr>
      <vt:lpstr>'P19-26_T12'!Área_de_impresión</vt:lpstr>
      <vt:lpstr>P2_T2!Área_de_impresión</vt:lpstr>
      <vt:lpstr>P27_40_T13!Área_de_impresión</vt:lpstr>
      <vt:lpstr>P3_T3_gender!Área_de_impresión</vt:lpstr>
      <vt:lpstr>P4_P5_T4_age!Área_de_impresión</vt:lpstr>
      <vt:lpstr>P41_T14!Área_de_impresión</vt:lpstr>
      <vt:lpstr>P42_T14!Área_de_impresión</vt:lpstr>
      <vt:lpstr>P43_T14!Área_de_impresión</vt:lpstr>
      <vt:lpstr>P44_T15!Área_de_impresión</vt:lpstr>
      <vt:lpstr>P45_T16!Área_de_impresión</vt:lpstr>
      <vt:lpstr>P46_T17!Área_de_impresión</vt:lpstr>
      <vt:lpstr>P47_T18!Área_de_impresión</vt:lpstr>
      <vt:lpstr>'P48_T19_taxed excl '!Área_de_impresión</vt:lpstr>
      <vt:lpstr>P49_T20_nontaxable!Área_de_impresión</vt:lpstr>
      <vt:lpstr>P50_T21!Área_de_impresión</vt:lpstr>
      <vt:lpstr>P51_T22!Área_de_impresión</vt:lpstr>
      <vt:lpstr>P52_T23!Área_de_impresión</vt:lpstr>
      <vt:lpstr>P6_P7_T5!Área_de_impresión</vt:lpstr>
      <vt:lpstr>P8_P9_T6!Área_de_impresión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68467524715</dc:creator>
  <cp:lastModifiedBy>Microsoft Office User</cp:lastModifiedBy>
  <cp:revision>0</cp:revision>
  <cp:lastPrinted>2016-10-21T09:46:51Z</cp:lastPrinted>
  <dcterms:created xsi:type="dcterms:W3CDTF">2012-07-24T16:41:23Z</dcterms:created>
  <dcterms:modified xsi:type="dcterms:W3CDTF">2023-09-22T14:21:19Z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Receita Federal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