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 activeTab="5"/>
  </bookViews>
  <sheets>
    <sheet name="General POJO" sheetId="9" r:id="rId1"/>
    <sheet name="Jackson POJO" sheetId="1" r:id="rId2"/>
    <sheet name=".class to POJO" sheetId="2" r:id="rId3"/>
    <sheet name="Bean graph" sheetId="10" r:id="rId4"/>
    <sheet name="Some stuff to Java" sheetId="12" r:id="rId5"/>
    <sheet name="WIP - Copy to Java" sheetId="4" r:id="rId6"/>
    <sheet name="WIP - Copy to XSD (BS)" sheetId="6" r:id="rId7"/>
    <sheet name="Params" sheetId="8" r:id="rId8"/>
  </sheets>
  <calcPr calcId="145621"/>
</workbook>
</file>

<file path=xl/calcChain.xml><?xml version="1.0" encoding="utf-8"?>
<calcChain xmlns="http://schemas.openxmlformats.org/spreadsheetml/2006/main">
  <c r="E4" i="12" l="1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" i="12"/>
  <c r="E3" i="12"/>
  <c r="F3" i="12" l="1"/>
  <c r="F4" i="12"/>
  <c r="H4" i="12" s="1"/>
  <c r="F5" i="12"/>
  <c r="F6" i="12"/>
  <c r="F7" i="12"/>
  <c r="F8" i="12"/>
  <c r="H8" i="12" s="1"/>
  <c r="F9" i="12"/>
  <c r="F10" i="12"/>
  <c r="F11" i="12"/>
  <c r="H11" i="12" s="1"/>
  <c r="F12" i="12"/>
  <c r="F13" i="12"/>
  <c r="F14" i="12"/>
  <c r="G14" i="12" s="1"/>
  <c r="F15" i="12"/>
  <c r="H15" i="12" s="1"/>
  <c r="F16" i="12"/>
  <c r="G16" i="12" s="1"/>
  <c r="F17" i="12"/>
  <c r="F18" i="12"/>
  <c r="F19" i="12"/>
  <c r="H19" i="12" s="1"/>
  <c r="F20" i="12"/>
  <c r="F21" i="12"/>
  <c r="F22" i="12"/>
  <c r="F23" i="12"/>
  <c r="H23" i="12" s="1"/>
  <c r="F24" i="12"/>
  <c r="F25" i="12"/>
  <c r="F26" i="12"/>
  <c r="F2" i="12"/>
  <c r="G3" i="12"/>
  <c r="G4" i="12"/>
  <c r="G5" i="12"/>
  <c r="G6" i="12"/>
  <c r="G7" i="12"/>
  <c r="G9" i="12"/>
  <c r="G10" i="12"/>
  <c r="G12" i="12"/>
  <c r="G13" i="12"/>
  <c r="G17" i="12"/>
  <c r="G18" i="12"/>
  <c r="G21" i="12"/>
  <c r="G22" i="12"/>
  <c r="G24" i="12"/>
  <c r="G25" i="12"/>
  <c r="G26" i="12"/>
  <c r="G20" i="12"/>
  <c r="C6" i="8"/>
  <c r="C5" i="8"/>
  <c r="C4" i="8"/>
  <c r="B6" i="8"/>
  <c r="B5" i="8"/>
  <c r="B4" i="8"/>
  <c r="C2" i="10"/>
  <c r="C10" i="10" s="1"/>
  <c r="C24" i="10" s="1"/>
  <c r="B1" i="8"/>
  <c r="C1" i="8"/>
  <c r="G8" i="12" l="1"/>
  <c r="H24" i="12"/>
  <c r="H20" i="12"/>
  <c r="H16" i="12"/>
  <c r="H12" i="12"/>
  <c r="H25" i="12"/>
  <c r="H21" i="12"/>
  <c r="H26" i="12"/>
  <c r="H22" i="12"/>
  <c r="H18" i="12"/>
  <c r="H14" i="12"/>
  <c r="H17" i="12"/>
  <c r="H13" i="12"/>
  <c r="H2" i="12"/>
  <c r="H7" i="12"/>
  <c r="H3" i="12"/>
  <c r="H10" i="12"/>
  <c r="H6" i="12"/>
  <c r="H9" i="12"/>
  <c r="H5" i="12"/>
  <c r="G23" i="12"/>
  <c r="G19" i="12"/>
  <c r="G15" i="12"/>
  <c r="G11" i="12"/>
  <c r="G2" i="12"/>
  <c r="C27" i="10"/>
  <c r="C31" i="10"/>
  <c r="C35" i="10"/>
  <c r="C28" i="10"/>
  <c r="C32" i="10"/>
  <c r="C36" i="10"/>
  <c r="C29" i="10"/>
  <c r="C33" i="10"/>
  <c r="C37" i="10"/>
  <c r="C26" i="10"/>
  <c r="C30" i="10"/>
  <c r="C34" i="10"/>
  <c r="C25" i="10"/>
  <c r="C38" i="10"/>
  <c r="C11" i="10"/>
  <c r="C15" i="10"/>
  <c r="C3" i="10"/>
  <c r="C23" i="10" l="1"/>
  <c r="C19" i="10"/>
  <c r="C22" i="10"/>
  <c r="C18" i="10"/>
  <c r="C21" i="10"/>
  <c r="C17" i="10"/>
  <c r="C20" i="10"/>
  <c r="C16" i="10"/>
  <c r="C40" i="10"/>
  <c r="C44" i="10"/>
  <c r="C41" i="10"/>
  <c r="C45" i="10"/>
  <c r="C42" i="10"/>
  <c r="C39" i="10"/>
  <c r="C43" i="10"/>
  <c r="C13" i="10"/>
  <c r="C14" i="10"/>
  <c r="C12" i="10"/>
  <c r="C7" i="10"/>
  <c r="C4" i="10"/>
  <c r="C6" i="10" l="1"/>
  <c r="C5" i="10"/>
  <c r="C9" i="10"/>
  <c r="C8" i="10"/>
  <c r="H3" i="9" l="1"/>
  <c r="H4" i="9"/>
  <c r="H5" i="9"/>
  <c r="H6" i="9"/>
  <c r="H7" i="9"/>
  <c r="H8" i="9"/>
  <c r="H9" i="9"/>
  <c r="H10" i="9"/>
  <c r="H11" i="9"/>
  <c r="H12" i="9"/>
  <c r="H13" i="9"/>
  <c r="H14" i="9"/>
  <c r="H2" i="9"/>
  <c r="F15" i="9"/>
  <c r="G4" i="9"/>
  <c r="G5" i="9" s="1"/>
  <c r="G6" i="9" s="1"/>
  <c r="G7" i="9" s="1"/>
  <c r="G8" i="9" s="1"/>
  <c r="G9" i="9" s="1"/>
  <c r="G10" i="9" s="1"/>
  <c r="G11" i="9" s="1"/>
  <c r="G12" i="9" s="1"/>
  <c r="G13" i="9" s="1"/>
  <c r="G14" i="9" s="1"/>
  <c r="G3" i="9"/>
  <c r="G2" i="9"/>
  <c r="J4" i="9"/>
  <c r="J8" i="9"/>
  <c r="J12" i="9"/>
  <c r="F3" i="9"/>
  <c r="I3" i="9" s="1"/>
  <c r="F4" i="9"/>
  <c r="I4" i="9" s="1"/>
  <c r="K4" i="9" s="1"/>
  <c r="F5" i="9"/>
  <c r="J5" i="9" s="1"/>
  <c r="F6" i="9"/>
  <c r="I6" i="9" s="1"/>
  <c r="F7" i="9"/>
  <c r="I7" i="9" s="1"/>
  <c r="F8" i="9"/>
  <c r="I8" i="9" s="1"/>
  <c r="K8" i="9" s="1"/>
  <c r="F9" i="9"/>
  <c r="J9" i="9" s="1"/>
  <c r="F10" i="9"/>
  <c r="I10" i="9" s="1"/>
  <c r="F11" i="9"/>
  <c r="I11" i="9" s="1"/>
  <c r="F12" i="9"/>
  <c r="I12" i="9" s="1"/>
  <c r="K12" i="9" s="1"/>
  <c r="F13" i="9"/>
  <c r="J13" i="9" s="1"/>
  <c r="F14" i="9"/>
  <c r="I14" i="9" s="1"/>
  <c r="F2" i="9"/>
  <c r="I2" i="9" s="1"/>
  <c r="F3" i="2"/>
  <c r="F4" i="2"/>
  <c r="F5" i="2"/>
  <c r="F6" i="2"/>
  <c r="F7" i="2"/>
  <c r="F8" i="2"/>
  <c r="F9" i="2"/>
  <c r="F10" i="2"/>
  <c r="F11" i="2"/>
  <c r="F12" i="2"/>
  <c r="F13" i="2"/>
  <c r="F14" i="2"/>
  <c r="F2" i="2"/>
  <c r="A1" i="8"/>
  <c r="L12" i="9" l="1"/>
  <c r="M12" i="9"/>
  <c r="O12" i="9" s="1"/>
  <c r="L4" i="9"/>
  <c r="M4" i="9" s="1"/>
  <c r="O4" i="9" s="1"/>
  <c r="K11" i="9"/>
  <c r="K14" i="9"/>
  <c r="K10" i="9"/>
  <c r="L8" i="9"/>
  <c r="M8" i="9"/>
  <c r="I5" i="9"/>
  <c r="K5" i="9" s="1"/>
  <c r="I9" i="9"/>
  <c r="K9" i="9" s="1"/>
  <c r="J11" i="9"/>
  <c r="J7" i="9"/>
  <c r="K7" i="9" s="1"/>
  <c r="J3" i="9"/>
  <c r="K3" i="9" s="1"/>
  <c r="J14" i="9"/>
  <c r="J10" i="9"/>
  <c r="J6" i="9"/>
  <c r="K6" i="9" s="1"/>
  <c r="J2" i="9"/>
  <c r="K2" i="9" s="1"/>
  <c r="I13" i="9"/>
  <c r="K13" i="9" s="1"/>
  <c r="H7" i="6"/>
  <c r="N7" i="6"/>
  <c r="N6" i="6"/>
  <c r="N5" i="6"/>
  <c r="N4" i="6"/>
  <c r="I5" i="6"/>
  <c r="I6" i="6"/>
  <c r="I7" i="6"/>
  <c r="I8" i="6"/>
  <c r="I9" i="6"/>
  <c r="I10" i="6"/>
  <c r="I4" i="6"/>
  <c r="G2" i="6"/>
  <c r="G3" i="6"/>
  <c r="G5" i="6"/>
  <c r="G6" i="6"/>
  <c r="G7" i="6"/>
  <c r="G8" i="6"/>
  <c r="G9" i="6"/>
  <c r="G10" i="6"/>
  <c r="G4" i="6"/>
  <c r="L2" i="6"/>
  <c r="J2" i="6"/>
  <c r="N2" i="6"/>
  <c r="I6" i="2"/>
  <c r="I14" i="2"/>
  <c r="I10" i="2"/>
  <c r="I12" i="2"/>
  <c r="I2" i="2"/>
  <c r="I11" i="2"/>
  <c r="I13" i="2"/>
  <c r="I8" i="2"/>
  <c r="I9" i="2"/>
  <c r="I5" i="2"/>
  <c r="I4" i="2"/>
  <c r="I3" i="2"/>
  <c r="I7" i="2"/>
  <c r="L3" i="9" l="1"/>
  <c r="M3" i="9"/>
  <c r="O3" i="9" s="1"/>
  <c r="L6" i="9"/>
  <c r="M6" i="9" s="1"/>
  <c r="O6" i="9" s="1"/>
  <c r="L7" i="9"/>
  <c r="M7" i="9"/>
  <c r="O7" i="9" s="1"/>
  <c r="L2" i="9"/>
  <c r="M2" i="9" s="1"/>
  <c r="L10" i="9"/>
  <c r="M10" i="9" s="1"/>
  <c r="O10" i="9" s="1"/>
  <c r="L5" i="9"/>
  <c r="M5" i="9"/>
  <c r="O5" i="9" s="1"/>
  <c r="L11" i="9"/>
  <c r="M11" i="9"/>
  <c r="O11" i="9" s="1"/>
  <c r="L13" i="9"/>
  <c r="M13" i="9" s="1"/>
  <c r="O13" i="9" s="1"/>
  <c r="L9" i="9"/>
  <c r="M9" i="9"/>
  <c r="O9" i="9" s="1"/>
  <c r="L14" i="9"/>
  <c r="M14" i="9" s="1"/>
  <c r="O14" i="9" s="1"/>
  <c r="O8" i="9"/>
  <c r="A4" i="6"/>
  <c r="A5" i="6" s="1"/>
  <c r="A6" i="6" s="1"/>
  <c r="A7" i="6" s="1"/>
  <c r="A8" i="6" s="1"/>
  <c r="A9" i="6" s="1"/>
  <c r="A10" i="6" s="1"/>
  <c r="A3" i="6"/>
  <c r="C10" i="6"/>
  <c r="F10" i="6" s="1"/>
  <c r="C9" i="6"/>
  <c r="D9" i="6" s="1"/>
  <c r="C8" i="6"/>
  <c r="F8" i="6" s="1"/>
  <c r="C7" i="6"/>
  <c r="C6" i="6"/>
  <c r="F6" i="6" s="1"/>
  <c r="C5" i="6"/>
  <c r="D5" i="6" s="1"/>
  <c r="C4" i="6"/>
  <c r="C3" i="6"/>
  <c r="C2" i="6"/>
  <c r="F2" i="6" s="1"/>
  <c r="E6" i="4"/>
  <c r="E64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2" i="4"/>
  <c r="E3" i="4"/>
  <c r="E4" i="4"/>
  <c r="E5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2" i="4"/>
  <c r="D3" i="4"/>
  <c r="D4" i="4"/>
  <c r="D5" i="4"/>
  <c r="D6" i="4"/>
  <c r="D64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2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O2" i="9" l="1"/>
  <c r="N2" i="9"/>
  <c r="N3" i="9" s="1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D6" i="6"/>
  <c r="E6" i="6" s="1"/>
  <c r="D2" i="6"/>
  <c r="D4" i="6"/>
  <c r="E4" i="6" s="1"/>
  <c r="F4" i="6"/>
  <c r="F7" i="6"/>
  <c r="D10" i="6"/>
  <c r="E10" i="6" s="1"/>
  <c r="F3" i="6"/>
  <c r="E2" i="6"/>
  <c r="E9" i="6"/>
  <c r="E5" i="6"/>
  <c r="D8" i="6"/>
  <c r="E8" i="6" s="1"/>
  <c r="F9" i="6"/>
  <c r="F5" i="6"/>
  <c r="D3" i="6"/>
  <c r="D7" i="6"/>
  <c r="F2" i="4"/>
  <c r="F3" i="4"/>
  <c r="F4" i="4"/>
  <c r="F5" i="4"/>
  <c r="F6" i="4"/>
  <c r="F7" i="4"/>
  <c r="F8" i="4"/>
  <c r="F9" i="4"/>
  <c r="F10" i="4"/>
  <c r="F11" i="4"/>
  <c r="F12" i="4"/>
  <c r="F13" i="4"/>
  <c r="F14" i="4"/>
  <c r="E9" i="1"/>
  <c r="E10" i="1"/>
  <c r="E11" i="1"/>
  <c r="E12" i="1"/>
  <c r="E13" i="1"/>
  <c r="E14" i="1"/>
  <c r="D9" i="1"/>
  <c r="F9" i="1" s="1"/>
  <c r="G9" i="1" s="1"/>
  <c r="D10" i="1"/>
  <c r="F10" i="1" s="1"/>
  <c r="G10" i="1" s="1"/>
  <c r="D11" i="1"/>
  <c r="F11" i="1" s="1"/>
  <c r="G11" i="1" s="1"/>
  <c r="H11" i="1" s="1"/>
  <c r="J11" i="1" s="1"/>
  <c r="D12" i="1"/>
  <c r="D13" i="1"/>
  <c r="F13" i="1" s="1"/>
  <c r="D14" i="1"/>
  <c r="F14" i="1" s="1"/>
  <c r="G14" i="1" s="1"/>
  <c r="H3" i="2"/>
  <c r="H4" i="2"/>
  <c r="H5" i="2"/>
  <c r="H6" i="2"/>
  <c r="H7" i="2"/>
  <c r="H8" i="2"/>
  <c r="H9" i="2"/>
  <c r="H10" i="2"/>
  <c r="H11" i="2"/>
  <c r="H12" i="2"/>
  <c r="H13" i="2"/>
  <c r="H14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F12" i="1" l="1"/>
  <c r="G12" i="1" s="1"/>
  <c r="H12" i="1" s="1"/>
  <c r="J12" i="1" s="1"/>
  <c r="P8" i="6"/>
  <c r="L8" i="6"/>
  <c r="J8" i="6"/>
  <c r="L4" i="6"/>
  <c r="J4" i="6"/>
  <c r="L5" i="6"/>
  <c r="J5" i="6"/>
  <c r="L10" i="6"/>
  <c r="J10" i="6"/>
  <c r="L9" i="6"/>
  <c r="J9" i="6"/>
  <c r="L6" i="6"/>
  <c r="J6" i="6"/>
  <c r="P4" i="6"/>
  <c r="P5" i="6"/>
  <c r="P9" i="6"/>
  <c r="E7" i="6"/>
  <c r="E3" i="6"/>
  <c r="P6" i="6"/>
  <c r="P10" i="6"/>
  <c r="P2" i="6"/>
  <c r="G13" i="1"/>
  <c r="H13" i="1" s="1"/>
  <c r="J13" i="1" s="1"/>
  <c r="H14" i="1"/>
  <c r="J14" i="1" s="1"/>
  <c r="H10" i="1"/>
  <c r="J10" i="1" s="1"/>
  <c r="H9" i="1"/>
  <c r="H2" i="2"/>
  <c r="E2" i="1"/>
  <c r="E3" i="1"/>
  <c r="E4" i="1"/>
  <c r="E5" i="1"/>
  <c r="E6" i="1"/>
  <c r="E7" i="1"/>
  <c r="E8" i="1"/>
  <c r="D3" i="1"/>
  <c r="D4" i="1"/>
  <c r="D5" i="1"/>
  <c r="D6" i="1"/>
  <c r="D7" i="1"/>
  <c r="D8" i="1"/>
  <c r="D2" i="1"/>
  <c r="F6" i="1" l="1"/>
  <c r="G6" i="1" s="1"/>
  <c r="H6" i="1" s="1"/>
  <c r="J6" i="1" s="1"/>
  <c r="F2" i="1"/>
  <c r="G2" i="1" s="1"/>
  <c r="H2" i="1" s="1"/>
  <c r="F5" i="1"/>
  <c r="G5" i="1" s="1"/>
  <c r="H5" i="1" s="1"/>
  <c r="J5" i="1" s="1"/>
  <c r="P7" i="6"/>
  <c r="L7" i="6"/>
  <c r="J7" i="6"/>
  <c r="L3" i="6"/>
  <c r="J3" i="6"/>
  <c r="N3" i="6"/>
  <c r="P3" i="6"/>
  <c r="J9" i="1"/>
  <c r="F8" i="1"/>
  <c r="G8" i="1" s="1"/>
  <c r="F4" i="1"/>
  <c r="G4" i="1" s="1"/>
  <c r="F7" i="1"/>
  <c r="G7" i="1" s="1"/>
  <c r="H7" i="1" s="1"/>
  <c r="J7" i="1" s="1"/>
  <c r="F3" i="1"/>
  <c r="G3" i="1" s="1"/>
  <c r="H3" i="1" s="1"/>
  <c r="J3" i="1" s="1"/>
  <c r="H8" i="1" l="1"/>
  <c r="J8" i="1" s="1"/>
  <c r="J2" i="1"/>
  <c r="I2" i="1"/>
  <c r="I3" i="1" s="1"/>
  <c r="H4" i="1"/>
  <c r="J4" i="1" s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N8" i="6"/>
  <c r="O8" i="6" l="1"/>
  <c r="N10" i="6"/>
</calcChain>
</file>

<file path=xl/sharedStrings.xml><?xml version="1.0" encoding="utf-8"?>
<sst xmlns="http://schemas.openxmlformats.org/spreadsheetml/2006/main" count="343" uniqueCount="226">
  <si>
    <t>TRIM()</t>
  </si>
  <si>
    <t>Field declarations</t>
  </si>
  <si>
    <t>Access Modifier</t>
  </si>
  <si>
    <t>strip</t>
  </si>
  <si>
    <t>Type</t>
  </si>
  <si>
    <t>Name</t>
  </si>
  <si>
    <t>Class</t>
  </si>
  <si>
    <t>Constructor Signature</t>
  </si>
  <si>
    <t>Constructor Body</t>
  </si>
  <si>
    <t>Eclipse Field declarations</t>
  </si>
  <si>
    <t>codadrkey : long</t>
  </si>
  <si>
    <t>codorgkey : long</t>
  </si>
  <si>
    <t>codpostype : String</t>
  </si>
  <si>
    <t>deliposuf : String</t>
  </si>
  <si>
    <t>codpostal : String</t>
  </si>
  <si>
    <t>orgganame : String</t>
  </si>
  <si>
    <t>ad2Departm : String</t>
  </si>
  <si>
    <t>ad3Bulding : String</t>
  </si>
  <si>
    <t>sbuildname : String</t>
  </si>
  <si>
    <t>numbuildin : short</t>
  </si>
  <si>
    <t>thoroname : String</t>
  </si>
  <si>
    <t>ad6Twnlndi : String</t>
  </si>
  <si>
    <t>ad7Postown : String</t>
  </si>
  <si>
    <t>private</t>
  </si>
  <si>
    <t>Copy</t>
  </si>
  <si>
    <t xml:space="preserve">           02 PE7293O. </t>
  </si>
  <si>
    <t xml:space="preserve">             04 PE7293OR. </t>
  </si>
  <si>
    <t xml:space="preserve">               06 NUMFILAS        PIC S9(9) COMP-3. </t>
  </si>
  <si>
    <t xml:space="preserve">               06 CONTA           PIC S9(3) COMP-3. </t>
  </si>
  <si>
    <t xml:space="preserve">               06 PE7293R OCCURS 10 TIMES. </t>
  </si>
  <si>
    <t xml:space="preserve">                 08 ENTIDNPER     PIC XX. </t>
  </si>
  <si>
    <t xml:space="preserve">                 08 NUMPERSONA    PIC S9(9) COMP-3. </t>
  </si>
  <si>
    <t xml:space="preserve">                 08 INDDATOS      PIC X. </t>
  </si>
  <si>
    <t xml:space="preserve">                 08 NOMCOM        PIC X(100). </t>
  </si>
  <si>
    <t xml:space="preserve">                 08 BS00DOMI      PIC X(50). </t>
  </si>
  <si>
    <t xml:space="preserve">                 08 NUMIDEFISC    PIC X(12). </t>
  </si>
  <si>
    <t xml:space="preserve">                 08 BS00EDAD      PIC S9(3) COMP-3. </t>
  </si>
  <si>
    <t xml:space="preserve">                 08 FECNACIMIE    PIC X(10). </t>
  </si>
  <si>
    <t xml:space="preserve">                 08 CLIANAL       PIC X. </t>
  </si>
  <si>
    <t xml:space="preserve">                 08 INDNIVCONF    PIC S9(5) COMP-3. </t>
  </si>
  <si>
    <t xml:space="preserve">                 08 INDNIVCONB    PIC S9(5) COMP-3. </t>
  </si>
  <si>
    <t xml:space="preserve">                 08 INDSITECON    PIC S9(3) COMP-3. </t>
  </si>
  <si>
    <t xml:space="preserve">                 08 CODDEVCORR    PIC S9(3) COMP-3. </t>
  </si>
  <si>
    <t xml:space="preserve">                   88 DESCONOCIDO VALUE 1. </t>
  </si>
  <si>
    <t xml:space="preserve">                   88 DIRECCION-ERRONEA VALUE 2. </t>
  </si>
  <si>
    <t xml:space="preserve">                   88 AUSENTE VALUE 3. </t>
  </si>
  <si>
    <t xml:space="preserve">                   88 FALLECIDO VALUE 4. </t>
  </si>
  <si>
    <t xml:space="preserve">                   88 NO-ABRE-PORTAL VALUE 5. </t>
  </si>
  <si>
    <t xml:space="preserve">                   88 OTRAS-CAUSAS VALUE 99. </t>
  </si>
  <si>
    <t xml:space="preserve">                 08 DIGPERSONA    PIC S99 COMP-3. </t>
  </si>
  <si>
    <t xml:space="preserve">                 08 INDNIVAVIM    PIC S9(5) COMP-3. </t>
  </si>
  <si>
    <t xml:space="preserve">                 08 INDIDIOMA     PIC XX. </t>
  </si>
  <si>
    <t xml:space="preserve">                   88 CASTELLANO VALUE 'C'. </t>
  </si>
  <si>
    <t xml:space="preserve">                   88 EUSKERA VALUE 'E'. </t>
  </si>
  <si>
    <t xml:space="preserve">                   88 FRANCES VALUE 'F'. </t>
  </si>
  <si>
    <t xml:space="preserve">                   88 CATALAN VALUE 'T'. </t>
  </si>
  <si>
    <t xml:space="preserve">                   88 VALENCIANO VALUE 'V'. </t>
  </si>
  <si>
    <t xml:space="preserve">                 08 CODVALSEGM    PIC S9(3) COMP-3. </t>
  </si>
  <si>
    <t xml:space="preserve">                 08 CODVALSGMN    PIC S9(3) COMP-3. </t>
  </si>
  <si>
    <t xml:space="preserve">                 08 INDTIPPERS    PIC X. </t>
  </si>
  <si>
    <t xml:space="preserve">                   88 PERSONA-FISICA VALUE 'F'. </t>
  </si>
  <si>
    <t xml:space="preserve">                   88 ENTE-COLECTIVO VALUE 'E'. </t>
  </si>
  <si>
    <t xml:space="preserve">                 08 INDTIPIDEF    PIC S9(3) COMP-3. </t>
  </si>
  <si>
    <t xml:space="preserve">                   88 DNI VALUE 1. </t>
  </si>
  <si>
    <t xml:space="preserve">                   88 EXTRANJERO-TARJETA-RESIDENTE VALUE 3. </t>
  </si>
  <si>
    <t xml:space="preserve">                   88 EXTRANJERO-DOCUMENTO-IDENTIF VALUE 4. </t>
  </si>
  <si>
    <t xml:space="preserve">                   88 NIF VALUE 5. </t>
  </si>
  <si>
    <t xml:space="preserve">                   88 CIF VALUE 6. </t>
  </si>
  <si>
    <t xml:space="preserve">                   88 CIF-DISCRIMINADOR VALUE 8. </t>
  </si>
  <si>
    <t xml:space="preserve">                   88 CIF-EXTRANJERO VALUE 10. </t>
  </si>
  <si>
    <t xml:space="preserve">                   88 NIE-PERSONA-FISICA VALUE 11. </t>
  </si>
  <si>
    <t xml:space="preserve">                   88 NIE-PERSONA-JURIDICA VALUE 12. </t>
  </si>
  <si>
    <t xml:space="preserve">                   88 PASAPORTE-ESPANOL VALUE 13. </t>
  </si>
  <si>
    <t xml:space="preserve">                   88 GRUPO-DE-RIESGO VALUE 91. </t>
  </si>
  <si>
    <t xml:space="preserve">                   88 GRUPO-DE-GESTION VALUE 92. </t>
  </si>
  <si>
    <t xml:space="preserve">                   88 NOMBRE-COMERCIAL VALUE 93. </t>
  </si>
  <si>
    <t xml:space="preserve">                   88 MENOR-DE-EDAD VALUE 99. </t>
  </si>
  <si>
    <t xml:space="preserve">                 08 NUMREGISTR    PIC S9(13) COMP-3. </t>
  </si>
  <si>
    <t xml:space="preserve">                 08 AD1COMORG     PIC X(60). </t>
  </si>
  <si>
    <t xml:space="preserve">                 08 AD3BULDING    PIC X(60). </t>
  </si>
  <si>
    <t xml:space="preserve">                 08 AD4UBULDIN    PIC X(60). </t>
  </si>
  <si>
    <t xml:space="preserve">                 08 NUMBUILDIN    PIC S9(4) COMP. </t>
  </si>
  <si>
    <t xml:space="preserve">                 08 AD5ADRSTRT    PIC X(60). </t>
  </si>
  <si>
    <t xml:space="preserve">                 08 AD6TWNLNDI    PIC X(60). </t>
  </si>
  <si>
    <t xml:space="preserve">                 08 AD7POSTOWN    PIC X(60). </t>
  </si>
  <si>
    <t xml:space="preserve">                 08 CODPOSTAL     PIC X(8). </t>
  </si>
  <si>
    <t xml:space="preserve">                 08 CODPAIS       PIC S9(3) COMP-3. </t>
  </si>
  <si>
    <t xml:space="preserve">                 08 FECULTACT     PIC X(10). </t>
  </si>
  <si>
    <t>Lvl</t>
  </si>
  <si>
    <t xml:space="preserve">            03 EG7028I. </t>
  </si>
  <si>
    <t xml:space="preserve">              05 EG8529P-I. </t>
  </si>
  <si>
    <t xml:space="preserve">                07 OPTION         PIC X. </t>
  </si>
  <si>
    <t xml:space="preserve">                07 CODPOSTAL      PIC X(8). </t>
  </si>
  <si>
    <t xml:space="preserve">                07 THORONAME      PIC X(60). </t>
  </si>
  <si>
    <t xml:space="preserve">                07 NUMBUILDIN     PIC S9(4) COMP. </t>
  </si>
  <si>
    <t xml:space="preserve">                07 CODADRKEY      PIC 9(8) DISPLAY. </t>
  </si>
  <si>
    <t xml:space="preserve">                07 CODORGKEY      PIC 9(8) DISPLAY. </t>
  </si>
  <si>
    <t xml:space="preserve">                07 CODPOSTYPE     PIC X. </t>
  </si>
  <si>
    <t>(target)</t>
  </si>
  <si>
    <t xml:space="preserve">            &lt;element name="eg8529PI" type="tns:Eg8529PI"&gt;
                &lt;annotation&gt;
                    &lt;appinfo&gt;
                        &lt;cb:cobolElement cobolName="EG8529P-I" levelNumber="5" srceLine="31" type="GROUP_ITEM"/&gt;
                    &lt;/appinfo&gt;
                &lt;/annotation&gt;
            &lt;/element&gt;
        &lt;/sequence&gt;
    &lt;/complexType&gt;</t>
  </si>
  <si>
    <t>Line</t>
  </si>
  <si>
    <t>COBOL Type</t>
  </si>
  <si>
    <t>Type name</t>
  </si>
  <si>
    <t>Element name</t>
  </si>
  <si>
    <t>Override Type Name</t>
  </si>
  <si>
    <t>Override Element name</t>
  </si>
  <si>
    <t>&lt;complexType name="Eg7028I"&gt;&lt;sequence&gt;</t>
  </si>
  <si>
    <t>Eg7028I</t>
  </si>
  <si>
    <t>eg8529PI</t>
  </si>
  <si>
    <t>Eg8529PI</t>
  </si>
  <si>
    <t>Picture</t>
  </si>
  <si>
    <t>Picture Type</t>
  </si>
  <si>
    <t>Picture Length</t>
  </si>
  <si>
    <t>&lt;element name="option"&gt;&lt;annotation&gt;&lt;appinfo&gt;&lt;cb:cobolElement cobolName="OPTION" levelNumber="7" picture="X" srceLine="32" type="ALPHANUMERIC_ITEM"/&gt;&lt;/appinfo&gt;&lt;/annotation&gt;&lt;simpleType&gt;&lt;restriction base="string"&gt;&lt;maxLength value="1"/&gt;&lt;/restriction&gt;&lt;/simpleType&gt;&lt;/element&gt;</t>
  </si>
  <si>
    <t>&lt;element name="codpostal"&gt;&lt;annotation&gt;&lt;appinfo&gt;&lt;cb:cobolElement cobolName="CODPOSTAL" levelNumber="7" picture="X(8)" srceLine="33" type="ALPHANUMERIC_ITEM"/&gt;&lt;/appinfo&gt;&lt;/annotation&gt;&lt;simpleType&gt;&lt;restriction base="string"&gt;&lt;maxLength value="8"/&gt;&lt;/restriction&gt;&lt;/simpleType&gt;&lt;/element&gt;</t>
  </si>
  <si>
    <t>&lt;element name="thoroname"&gt;&lt;annotation&gt;&lt;appinfo&gt;&lt;cb:cobolElement cobolName="THORONAME" levelNumber="7" picture="X(60)" srceLine="34" type="ALPHANUMERIC_ITEM"/&gt;&lt;/appinfo&gt;&lt;/annotation&gt;&lt;simpleType&gt;&lt;restriction base="string"&gt;&lt;maxLength value="60"/&gt;&lt;/restriction&gt;&lt;/simpleType&gt;&lt;/element&gt;</t>
  </si>
  <si>
    <t>&lt;element name="numbuildin"&gt;&lt;annotation&gt;&lt;appinfo&gt;&lt;cb:cobolElement cobolName="NUMBUILDIN" levelNumber="7" picture="S9(4)" signed="true" srceLine="35" totalDigits="4" type="BINARY_ITEM" usage="BINARY"/&gt;&lt;/appinfo&gt;&lt;/annotation&gt;&lt;simpleType&gt;&lt;restriction base="short"&gt;&lt;totalDigits value="4"/&gt;&lt;/restriction&gt;&lt;/simpleType&gt;&lt;/element&gt;</t>
  </si>
  <si>
    <t>"set" calls</t>
  </si>
  <si>
    <t>Java integer types</t>
  </si>
  <si>
    <t>byte</t>
  </si>
  <si>
    <t>short</t>
  </si>
  <si>
    <t>int</t>
  </si>
  <si>
    <t>long</t>
  </si>
  <si>
    <t>Var name:</t>
  </si>
  <si>
    <t>beAddress</t>
  </si>
  <si>
    <t>Eg7028AddressModel</t>
  </si>
  <si>
    <t>String</t>
  </si>
  <si>
    <t>codadrkey</t>
  </si>
  <si>
    <t>codorgkey</t>
  </si>
  <si>
    <t>codpostype</t>
  </si>
  <si>
    <t>deliposuf</t>
  </si>
  <si>
    <t>codpostal</t>
  </si>
  <si>
    <t>orgganame</t>
  </si>
  <si>
    <t>ad2Departm</t>
  </si>
  <si>
    <t>ad3Bulding</t>
  </si>
  <si>
    <t>sbuildname</t>
  </si>
  <si>
    <t>numbuildin</t>
  </si>
  <si>
    <t>thoroname</t>
  </si>
  <si>
    <t>ad6Twnlndi</t>
  </si>
  <si>
    <t>ad7Postown</t>
  </si>
  <si>
    <t>responseParent</t>
  </si>
  <si>
    <t>ResponseParent</t>
  </si>
  <si>
    <t>staticData</t>
  </si>
  <si>
    <t>storedData</t>
  </si>
  <si>
    <t>OverPaymentStaticModel</t>
  </si>
  <si>
    <t>OverPaymentObtainResponse</t>
  </si>
  <si>
    <t>source</t>
  </si>
  <si>
    <t>accounts</t>
  </si>
  <si>
    <t>List&lt;IdDescriptionModel&gt;</t>
  </si>
  <si>
    <t>id</t>
  </si>
  <si>
    <t>description</t>
  </si>
  <si>
    <t>header</t>
  </si>
  <si>
    <t>LoanHeaderModel</t>
  </si>
  <si>
    <t>auxiliary</t>
  </si>
  <si>
    <t>OverPaymentAuxiliaryModel</t>
  </si>
  <si>
    <t>details</t>
  </si>
  <si>
    <t>OverPaymentDetailsModel</t>
  </si>
  <si>
    <t>illustration</t>
  </si>
  <si>
    <t>OverPaymentIlustrationModel</t>
  </si>
  <si>
    <t>loanProductCode</t>
  </si>
  <si>
    <t>Integer</t>
  </si>
  <si>
    <t>loanNumber</t>
  </si>
  <si>
    <t>loanProductType</t>
  </si>
  <si>
    <t>Double</t>
  </si>
  <si>
    <t>Date</t>
  </si>
  <si>
    <t>List&lt;String&gt;</t>
  </si>
  <si>
    <t>loanType</t>
  </si>
  <si>
    <t>numPrest</t>
  </si>
  <si>
    <t>numVersPr</t>
  </si>
  <si>
    <t>timeStamp</t>
  </si>
  <si>
    <t>internalAccountBalance</t>
  </si>
  <si>
    <t>newDueDate</t>
  </si>
  <si>
    <t>amortizationAmountHigher90</t>
  </si>
  <si>
    <t>feedbackMessages</t>
  </si>
  <si>
    <t>currentOutstandingBalance</t>
  </si>
  <si>
    <t>monthlyRepayment</t>
  </si>
  <si>
    <t>arrears</t>
  </si>
  <si>
    <t>activeESQDate</t>
  </si>
  <si>
    <t>activeESQAmount</t>
  </si>
  <si>
    <t>collateralSecurity</t>
  </si>
  <si>
    <t>amortizationType</t>
  </si>
  <si>
    <t>paymentAmount</t>
  </si>
  <si>
    <t>effectiveDate</t>
  </si>
  <si>
    <t>variationType</t>
  </si>
  <si>
    <t>useForNextRepayment</t>
  </si>
  <si>
    <t>fee</t>
  </si>
  <si>
    <t>newMonthlyPaymentAmount</t>
  </si>
  <si>
    <t>interestSavedDueToAdditionalPayment</t>
  </si>
  <si>
    <t>termReducedBy</t>
  </si>
  <si>
    <t>newOutstandingBalance</t>
  </si>
  <si>
    <t>newTermRemaining</t>
  </si>
  <si>
    <t>updatedArrearsBalance</t>
  </si>
  <si>
    <t>Path</t>
  </si>
  <si>
    <t>Maps from</t>
  </si>
  <si>
    <t>PR7016O-CODCTO</t>
  </si>
  <si>
    <t>PR7016O-CODPRODO</t>
  </si>
  <si>
    <t>Copy var names</t>
  </si>
  <si>
    <t>Types</t>
  </si>
  <si>
    <t>N/A</t>
  </si>
  <si>
    <t>Java type</t>
  </si>
  <si>
    <t>Java integer max values</t>
  </si>
  <si>
    <t>Java integer min values</t>
  </si>
  <si>
    <t>Java Name</t>
  </si>
  <si>
    <t>Set invocations</t>
  </si>
  <si>
    <t>Bean name:</t>
  </si>
  <si>
    <t>ret</t>
  </si>
  <si>
    <t>Decimal</t>
  </si>
  <si>
    <t>PR7220O-RETORNO</t>
  </si>
  <si>
    <t>PR7220O-TIMESTAMP</t>
  </si>
  <si>
    <t>PR7220O-TIPOPEORD</t>
  </si>
  <si>
    <t>PR7220O-IMPOPERAC</t>
  </si>
  <si>
    <t>PR7220O-FECVTOPER</t>
  </si>
  <si>
    <t>PR7220O-TIPFORPAG</t>
  </si>
  <si>
    <t>PR7220O-IMPCTAINT</t>
  </si>
  <si>
    <t>PR7220O-INDFORPAG</t>
  </si>
  <si>
    <t>PR7220O-TIPVARIAC</t>
  </si>
  <si>
    <t>PR7220O-IMPNUECUOT</t>
  </si>
  <si>
    <t>PR7220O-FECNUEVTO</t>
  </si>
  <si>
    <t>PR7220O-CODCTA</t>
  </si>
  <si>
    <t>PR7220O-CODOPERA</t>
  </si>
  <si>
    <t>PR7220O-DATOSOPER</t>
  </si>
  <si>
    <t>PR7220O-INDLEY41</t>
  </si>
  <si>
    <t>PR7220O-INDHABILITA</t>
  </si>
  <si>
    <t xml:space="preserve">String </t>
  </si>
  <si>
    <t>Dependency</t>
  </si>
  <si>
    <t>private List&lt;Dependency&gt; dependencies;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</si>
</sst>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 tint="-0.24994659260841701"/>
      </patternFill>
    </fill>
    <fill>
      <patternFill patternType="solid">
        <fgColor rgb="FFDFE3E8"/>
        <bgColor indexed="64"/>
      </patternFill>
    </fill>
    <fill>
      <patternFill patternType="solid">
        <fgColor rgb="FFDFE3E8"/>
        <bgColor theme="0" tint="-0.24994659260841701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 applyProtection="0">
      <alignment vertical="top" wrapText="1"/>
    </xf>
    <xf numFmtId="0" fontId="3" fillId="0" borderId="0"/>
    <xf numFmtId="0" fontId="3" fillId="0" borderId="0"/>
  </cellStyleXfs>
  <cellXfs count="19">
    <xf numFmtId="0" fontId="0" fillId="0" borderId="0" xfId="0"/>
    <xf numFmtId="0" fontId="0" fillId="2" borderId="1" xfId="0" applyFill="1" applyBorder="1"/>
    <xf numFmtId="0" fontId="1" fillId="3" borderId="0" xfId="0" applyFont="1" applyFill="1"/>
    <xf numFmtId="0" fontId="0" fillId="3" borderId="0" xfId="0" applyFill="1"/>
    <xf numFmtId="0" fontId="1" fillId="4" borderId="1" xfId="0" applyFont="1" applyFill="1" applyBorder="1"/>
    <xf numFmtId="0" fontId="0" fillId="4" borderId="0" xfId="0" applyFill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4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1" xfId="0" applyFill="1" applyBorder="1" applyAlignment="1">
      <alignment wrapText="1"/>
    </xf>
    <xf numFmtId="0" fontId="1" fillId="0" borderId="0" xfId="0" applyFont="1"/>
    <xf numFmtId="0" fontId="0" fillId="0" borderId="1" xfId="0" applyFill="1" applyBorder="1"/>
    <xf numFmtId="0" fontId="1" fillId="4" borderId="0" xfId="0" applyFont="1" applyFill="1"/>
  </cellXfs>
  <cellStyles count="4">
    <cellStyle name="Code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colors>
    <mruColors>
      <color rgb="FFDFE3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D6" sqref="D6"/>
    </sheetView>
  </sheetViews>
  <sheetFormatPr defaultRowHeight="15" x14ac:dyDescent="0.25"/>
  <cols>
    <col min="1" max="1" width="9.140625" style="3"/>
    <col min="2" max="2" width="34.85546875" style="3" bestFit="1" customWidth="1"/>
    <col min="3" max="3" width="15.28515625" style="3" bestFit="1" customWidth="1"/>
    <col min="4" max="4" width="9.140625" style="3"/>
    <col min="5" max="5" width="11.85546875" style="3" bestFit="1" customWidth="1"/>
    <col min="6" max="6" width="24.5703125" style="3" bestFit="1" customWidth="1"/>
    <col min="7" max="7" width="66.85546875" style="3" customWidth="1"/>
    <col min="8" max="8" width="29.7109375" style="3" bestFit="1" customWidth="1"/>
    <col min="9" max="9" width="24.5703125" style="3" bestFit="1" customWidth="1"/>
    <col min="10" max="10" width="15.28515625" style="3" bestFit="1" customWidth="1"/>
    <col min="11" max="11" width="17.7109375" style="3" bestFit="1" customWidth="1"/>
    <col min="12" max="12" width="9.140625" style="3"/>
    <col min="13" max="13" width="11.28515625" style="3" bestFit="1" customWidth="1"/>
    <col min="14" max="14" width="66.85546875" style="3" customWidth="1"/>
    <col min="15" max="15" width="29.7109375" style="3" bestFit="1" customWidth="1"/>
    <col min="16" max="16384" width="9.140625" style="3"/>
  </cols>
  <sheetData>
    <row r="1" spans="1:15" s="2" customFormat="1" x14ac:dyDescent="0.25">
      <c r="A1" s="2" t="s">
        <v>6</v>
      </c>
      <c r="B1" s="7" t="s">
        <v>125</v>
      </c>
      <c r="C1" s="9" t="s">
        <v>2</v>
      </c>
      <c r="D1" s="9" t="s">
        <v>4</v>
      </c>
      <c r="E1" s="9" t="s">
        <v>5</v>
      </c>
      <c r="F1" s="9" t="s">
        <v>1</v>
      </c>
      <c r="G1" s="9" t="s">
        <v>7</v>
      </c>
      <c r="H1" s="9" t="s">
        <v>8</v>
      </c>
      <c r="I1" s="9" t="s">
        <v>0</v>
      </c>
      <c r="J1" s="9" t="s">
        <v>2</v>
      </c>
      <c r="K1" s="9" t="s">
        <v>3</v>
      </c>
      <c r="L1" s="9" t="s">
        <v>4</v>
      </c>
      <c r="M1" s="9" t="s">
        <v>5</v>
      </c>
      <c r="N1" s="9" t="s">
        <v>7</v>
      </c>
      <c r="O1" s="9" t="s">
        <v>8</v>
      </c>
    </row>
    <row r="2" spans="1:15" x14ac:dyDescent="0.25">
      <c r="C2" s="8" t="s">
        <v>23</v>
      </c>
      <c r="D2" s="8" t="s">
        <v>122</v>
      </c>
      <c r="E2" s="8" t="s">
        <v>127</v>
      </c>
      <c r="F2" s="10" t="str">
        <f>C2&amp;" "&amp;D2&amp;" "&amp;E2&amp;";"</f>
        <v>private long codadrkey;</v>
      </c>
      <c r="G2" s="10" t="str">
        <f>"public "&amp;B1&amp;" ("&amp;D2&amp;" "&amp;E2</f>
        <v>public Eg7028AddressModel (long codadrkey</v>
      </c>
      <c r="H2" s="10" t="str">
        <f>IF(F2&lt;&gt;"","this."&amp;E2&amp;" = "&amp;E2&amp;";","")</f>
        <v>this.codadrkey = codadrkey;</v>
      </c>
      <c r="I2" s="10" t="str">
        <f>TRIM(F2)</f>
        <v>private long codadrkey;</v>
      </c>
      <c r="J2" s="10" t="str">
        <f>IF(LEFT(F2,LEN("private"))="private","private",IF(LEFT(F2,LEN("public"))="public","public",IF(LEFT(F2,LEN("protected"))="protected","protected","")))</f>
        <v>private</v>
      </c>
      <c r="K2" s="10" t="str">
        <f>TRIM(RIGHT(I2,LEN(I2)-LEN(J2)))</f>
        <v>long codadrkey;</v>
      </c>
      <c r="L2" s="10" t="str">
        <f>LEFT(K2,FIND(" ",K2)-1)</f>
        <v>long</v>
      </c>
      <c r="M2" s="10" t="str">
        <f>MID(K2,LEN(L2)+2,LEN(K2)-LEN(L2)-2)</f>
        <v>codadrkey</v>
      </c>
      <c r="N2" s="10" t="str">
        <f>"public "&amp;B1&amp;" ("&amp;"@JsonProperty("""&amp;M2&amp;""") "&amp;L2&amp;" "&amp;M2</f>
        <v>public Eg7028AddressModel (@JsonProperty("codadrkey") long codadrkey</v>
      </c>
      <c r="O2" s="10" t="str">
        <f t="shared" ref="O2:O14" si="0">IF(M2&lt;&gt;"","this."&amp;M2&amp;" = "&amp;M2&amp;";","")</f>
        <v>this.codadrkey = codadrkey;</v>
      </c>
    </row>
    <row r="3" spans="1:15" x14ac:dyDescent="0.25">
      <c r="C3" s="8" t="s">
        <v>23</v>
      </c>
      <c r="D3" s="8" t="s">
        <v>122</v>
      </c>
      <c r="E3" s="8" t="s">
        <v>128</v>
      </c>
      <c r="F3" s="10" t="str">
        <f t="shared" ref="F3:F14" si="1">C3&amp;" "&amp;D3&amp;" "&amp;E3&amp;";"</f>
        <v>private long codorgkey;</v>
      </c>
      <c r="G3" s="10" t="str">
        <f>G2&amp;IF(F3&lt;&gt;"",", "&amp;D3&amp;" "&amp;E3,")")</f>
        <v>public Eg7028AddressModel (long codadrkey, long codorgkey</v>
      </c>
      <c r="H3" s="10" t="str">
        <f t="shared" ref="H3:H14" si="2">IF(F3&lt;&gt;"","this."&amp;E3&amp;" = "&amp;E3&amp;";","")</f>
        <v>this.codorgkey = codorgkey;</v>
      </c>
      <c r="I3" s="10" t="str">
        <f t="shared" ref="I3:I14" si="3">TRIM(F3)</f>
        <v>private long codorgkey;</v>
      </c>
      <c r="J3" s="10" t="str">
        <f t="shared" ref="J3:J14" si="4">IF(LEFT(F3,LEN("private"))="private","private","")</f>
        <v>private</v>
      </c>
      <c r="K3" s="10" t="str">
        <f t="shared" ref="K3:K14" si="5">TRIM(RIGHT(I3,LEN(I3)-LEN(J3)))</f>
        <v>long codorgkey;</v>
      </c>
      <c r="L3" s="10" t="str">
        <f t="shared" ref="L3:L14" si="6">LEFT(K3,FIND(" ",K3)-1)</f>
        <v>long</v>
      </c>
      <c r="M3" s="10" t="str">
        <f t="shared" ref="M3:M14" si="7">MID(K3,LEN(L3)+2,LEN(K3)-LEN(L3)-2)</f>
        <v>codorgkey</v>
      </c>
      <c r="N3" s="10" t="str">
        <f t="shared" ref="N3:N14" si="8">N2&amp;IF(M3&lt;&gt;"",", "&amp;"@JsonProperty("""&amp;M3&amp;""") "&amp;L3&amp;" "&amp;M3,")")</f>
        <v>public Eg7028AddressModel (@JsonProperty("codadrkey") long codadrkey, @JsonProperty("codorgkey") long codorgkey</v>
      </c>
      <c r="O3" s="10" t="str">
        <f t="shared" si="0"/>
        <v>this.codorgkey = codorgkey;</v>
      </c>
    </row>
    <row r="4" spans="1:15" x14ac:dyDescent="0.25">
      <c r="C4" s="8" t="s">
        <v>23</v>
      </c>
      <c r="D4" s="8" t="s">
        <v>126</v>
      </c>
      <c r="E4" s="8" t="s">
        <v>129</v>
      </c>
      <c r="F4" s="10" t="str">
        <f t="shared" si="1"/>
        <v>private String codpostype;</v>
      </c>
      <c r="G4" s="10" t="str">
        <f t="shared" ref="G4:G14" si="9">G3&amp;IF(F4&lt;&gt;"",", "&amp;D4&amp;" "&amp;E4,")")</f>
        <v>public Eg7028AddressModel (long codadrkey, long codorgkey, String codpostype</v>
      </c>
      <c r="H4" s="10" t="str">
        <f t="shared" si="2"/>
        <v>this.codpostype = codpostype;</v>
      </c>
      <c r="I4" s="10" t="str">
        <f t="shared" si="3"/>
        <v>private String codpostype;</v>
      </c>
      <c r="J4" s="10" t="str">
        <f t="shared" si="4"/>
        <v>private</v>
      </c>
      <c r="K4" s="10" t="str">
        <f t="shared" si="5"/>
        <v>String codpostype;</v>
      </c>
      <c r="L4" s="10" t="str">
        <f t="shared" si="6"/>
        <v>String</v>
      </c>
      <c r="M4" s="10" t="str">
        <f t="shared" si="7"/>
        <v>codpostype</v>
      </c>
      <c r="N4" s="10" t="str">
        <f t="shared" si="8"/>
        <v>public Eg7028AddressModel (@JsonProperty("codadrkey") long codadrkey, @JsonProperty("codorgkey") long codorgkey, @JsonProperty("codpostype") String codpostype</v>
      </c>
      <c r="O4" s="10" t="str">
        <f t="shared" si="0"/>
        <v>this.codpostype = codpostype;</v>
      </c>
    </row>
    <row r="5" spans="1:15" x14ac:dyDescent="0.25">
      <c r="C5" s="8" t="s">
        <v>23</v>
      </c>
      <c r="D5" s="8" t="s">
        <v>126</v>
      </c>
      <c r="E5" s="8" t="s">
        <v>130</v>
      </c>
      <c r="F5" s="10" t="str">
        <f t="shared" si="1"/>
        <v>private String deliposuf;</v>
      </c>
      <c r="G5" s="10" t="str">
        <f t="shared" si="9"/>
        <v>public Eg7028AddressModel (long codadrkey, long codorgkey, String codpostype, String deliposuf</v>
      </c>
      <c r="H5" s="10" t="str">
        <f t="shared" si="2"/>
        <v>this.deliposuf = deliposuf;</v>
      </c>
      <c r="I5" s="10" t="str">
        <f t="shared" si="3"/>
        <v>private String deliposuf;</v>
      </c>
      <c r="J5" s="10" t="str">
        <f t="shared" si="4"/>
        <v>private</v>
      </c>
      <c r="K5" s="10" t="str">
        <f t="shared" si="5"/>
        <v>String deliposuf;</v>
      </c>
      <c r="L5" s="10" t="str">
        <f t="shared" si="6"/>
        <v>String</v>
      </c>
      <c r="M5" s="10" t="str">
        <f t="shared" si="7"/>
        <v>deliposuf</v>
      </c>
      <c r="N5" s="10" t="str">
        <f t="shared" si="8"/>
        <v>public Eg7028AddressModel (@JsonProperty("codadrkey") long codadrkey, @JsonProperty("codorgkey") long codorgkey, @JsonProperty("codpostype") String codpostype, @JsonProperty("deliposuf") String deliposuf</v>
      </c>
      <c r="O5" s="10" t="str">
        <f t="shared" si="0"/>
        <v>this.deliposuf = deliposuf;</v>
      </c>
    </row>
    <row r="6" spans="1:15" x14ac:dyDescent="0.25">
      <c r="C6" s="8" t="s">
        <v>23</v>
      </c>
      <c r="D6" s="8" t="s">
        <v>126</v>
      </c>
      <c r="E6" s="8" t="s">
        <v>131</v>
      </c>
      <c r="F6" s="10" t="str">
        <f t="shared" si="1"/>
        <v>private String codpostal;</v>
      </c>
      <c r="G6" s="10" t="str">
        <f t="shared" si="9"/>
        <v>public Eg7028AddressModel (long codadrkey, long codorgkey, String codpostype, String deliposuf, String codpostal</v>
      </c>
      <c r="H6" s="10" t="str">
        <f t="shared" si="2"/>
        <v>this.codpostal = codpostal;</v>
      </c>
      <c r="I6" s="10" t="str">
        <f t="shared" si="3"/>
        <v>private String codpostal;</v>
      </c>
      <c r="J6" s="10" t="str">
        <f t="shared" si="4"/>
        <v>private</v>
      </c>
      <c r="K6" s="10" t="str">
        <f t="shared" si="5"/>
        <v>String codpostal;</v>
      </c>
      <c r="L6" s="10" t="str">
        <f t="shared" si="6"/>
        <v>String</v>
      </c>
      <c r="M6" s="10" t="str">
        <f t="shared" si="7"/>
        <v>codpostal</v>
      </c>
      <c r="N6" s="10" t="str">
        <f t="shared" si="8"/>
        <v>public Eg7028AddressModel (@JsonProperty("codadrkey") long codadrkey, @JsonProperty("codorgkey") long codorgkey, @JsonProperty("codpostype") String codpostype, @JsonProperty("deliposuf") String deliposuf, @JsonProperty("codpostal") String codpostal</v>
      </c>
      <c r="O6" s="10" t="str">
        <f t="shared" si="0"/>
        <v>this.codpostal = codpostal;</v>
      </c>
    </row>
    <row r="7" spans="1:15" x14ac:dyDescent="0.25">
      <c r="C7" s="8" t="s">
        <v>23</v>
      </c>
      <c r="D7" s="8" t="s">
        <v>126</v>
      </c>
      <c r="E7" s="8" t="s">
        <v>132</v>
      </c>
      <c r="F7" s="10" t="str">
        <f t="shared" si="1"/>
        <v>private String orgganame;</v>
      </c>
      <c r="G7" s="10" t="str">
        <f t="shared" si="9"/>
        <v>public Eg7028AddressModel (long codadrkey, long codorgkey, String codpostype, String deliposuf, String codpostal, String orgganame</v>
      </c>
      <c r="H7" s="10" t="str">
        <f t="shared" si="2"/>
        <v>this.orgganame = orgganame;</v>
      </c>
      <c r="I7" s="10" t="str">
        <f t="shared" si="3"/>
        <v>private String orgganame;</v>
      </c>
      <c r="J7" s="10" t="str">
        <f t="shared" si="4"/>
        <v>private</v>
      </c>
      <c r="K7" s="10" t="str">
        <f t="shared" si="5"/>
        <v>String orgganame;</v>
      </c>
      <c r="L7" s="10" t="str">
        <f t="shared" si="6"/>
        <v>String</v>
      </c>
      <c r="M7" s="10" t="str">
        <f t="shared" si="7"/>
        <v>orgganame</v>
      </c>
      <c r="N7" s="10" t="str">
        <f t="shared" si="8"/>
        <v>public Eg7028AddressModel (@JsonProperty("codadrkey") long codadrkey, @JsonProperty("codorgkey") long codorgkey, @JsonProperty("codpostype") String codpostype, @JsonProperty("deliposuf") String deliposuf, @JsonProperty("codpostal") String codpostal, @JsonProperty("orgganame") String orgganame</v>
      </c>
      <c r="O7" s="10" t="str">
        <f t="shared" si="0"/>
        <v>this.orgganame = orgganame;</v>
      </c>
    </row>
    <row r="8" spans="1:15" x14ac:dyDescent="0.25">
      <c r="C8" s="8" t="s">
        <v>23</v>
      </c>
      <c r="D8" s="8" t="s">
        <v>126</v>
      </c>
      <c r="E8" s="8" t="s">
        <v>133</v>
      </c>
      <c r="F8" s="10" t="str">
        <f t="shared" si="1"/>
        <v>private String ad2Departm;</v>
      </c>
      <c r="G8" s="10" t="str">
        <f t="shared" si="9"/>
        <v>public Eg7028AddressModel (long codadrkey, long codorgkey, String codpostype, String deliposuf, String codpostal, String orgganame, String ad2Departm</v>
      </c>
      <c r="H8" s="10" t="str">
        <f t="shared" si="2"/>
        <v>this.ad2Departm = ad2Departm;</v>
      </c>
      <c r="I8" s="10" t="str">
        <f t="shared" si="3"/>
        <v>private String ad2Departm;</v>
      </c>
      <c r="J8" s="10" t="str">
        <f t="shared" si="4"/>
        <v>private</v>
      </c>
      <c r="K8" s="10" t="str">
        <f t="shared" si="5"/>
        <v>String ad2Departm;</v>
      </c>
      <c r="L8" s="10" t="str">
        <f t="shared" si="6"/>
        <v>String</v>
      </c>
      <c r="M8" s="10" t="str">
        <f t="shared" si="7"/>
        <v>ad2Departm</v>
      </c>
      <c r="N8" s="10" t="str">
        <f t="shared" si="8"/>
        <v>public Eg7028AddressModel (@JsonProperty("codadrkey") long codadrkey, @JsonProperty("codorgkey") long codorgkey, @JsonProperty("codpostype") String codpostype, @JsonProperty("deliposuf") String deliposuf, @JsonProperty("codpostal") String codpostal, @JsonProperty("orgganame") String orgganame, @JsonProperty("ad2Departm") String ad2Departm</v>
      </c>
      <c r="O8" s="10" t="str">
        <f t="shared" si="0"/>
        <v>this.ad2Departm = ad2Departm;</v>
      </c>
    </row>
    <row r="9" spans="1:15" x14ac:dyDescent="0.25">
      <c r="C9" s="8" t="s">
        <v>23</v>
      </c>
      <c r="D9" s="8" t="s">
        <v>126</v>
      </c>
      <c r="E9" s="8" t="s">
        <v>134</v>
      </c>
      <c r="F9" s="10" t="str">
        <f t="shared" si="1"/>
        <v>private String ad3Bulding;</v>
      </c>
      <c r="G9" s="10" t="str">
        <f t="shared" si="9"/>
        <v>public Eg7028AddressModel (long codadrkey, long codorgkey, String codpostype, String deliposuf, String codpostal, String orgganame, String ad2Departm, String ad3Bulding</v>
      </c>
      <c r="H9" s="10" t="str">
        <f t="shared" si="2"/>
        <v>this.ad3Bulding = ad3Bulding;</v>
      </c>
      <c r="I9" s="10" t="str">
        <f t="shared" si="3"/>
        <v>private String ad3Bulding;</v>
      </c>
      <c r="J9" s="10" t="str">
        <f t="shared" si="4"/>
        <v>private</v>
      </c>
      <c r="K9" s="10" t="str">
        <f t="shared" si="5"/>
        <v>String ad3Bulding;</v>
      </c>
      <c r="L9" s="10" t="str">
        <f t="shared" si="6"/>
        <v>String</v>
      </c>
      <c r="M9" s="10" t="str">
        <f t="shared" si="7"/>
        <v>ad3Bulding</v>
      </c>
      <c r="N9" s="10" t="str">
        <f t="shared" si="8"/>
        <v>public Eg7028AddressModel (@JsonProperty("codadrkey") long codadrkey, @JsonProperty("codorgkey") long codorgkey, @JsonProperty("codpostype") String codpostype, @JsonProperty("deliposuf") String deliposuf, @JsonProperty("codpostal") String codpostal, @JsonProperty("orgganame") String orgganame, @JsonProperty("ad2Departm") String ad2Departm, @JsonProperty("ad3Bulding") String ad3Bulding</v>
      </c>
      <c r="O9" s="10" t="str">
        <f t="shared" si="0"/>
        <v>this.ad3Bulding = ad3Bulding;</v>
      </c>
    </row>
    <row r="10" spans="1:15" x14ac:dyDescent="0.25">
      <c r="C10" s="8" t="s">
        <v>23</v>
      </c>
      <c r="D10" s="8" t="s">
        <v>126</v>
      </c>
      <c r="E10" s="8" t="s">
        <v>135</v>
      </c>
      <c r="F10" s="10" t="str">
        <f t="shared" si="1"/>
        <v>private String sbuildname;</v>
      </c>
      <c r="G10" s="10" t="str">
        <f t="shared" si="9"/>
        <v>public Eg7028AddressModel (long codadrkey, long codorgkey, String codpostype, String deliposuf, String codpostal, String orgganame, String ad2Departm, String ad3Bulding, String sbuildname</v>
      </c>
      <c r="H10" s="10" t="str">
        <f t="shared" si="2"/>
        <v>this.sbuildname = sbuildname;</v>
      </c>
      <c r="I10" s="10" t="str">
        <f t="shared" si="3"/>
        <v>private String sbuildname;</v>
      </c>
      <c r="J10" s="10" t="str">
        <f t="shared" si="4"/>
        <v>private</v>
      </c>
      <c r="K10" s="10" t="str">
        <f t="shared" si="5"/>
        <v>String sbuildname;</v>
      </c>
      <c r="L10" s="10" t="str">
        <f t="shared" si="6"/>
        <v>String</v>
      </c>
      <c r="M10" s="10" t="str">
        <f t="shared" si="7"/>
        <v>sbuildname</v>
      </c>
      <c r="N10" s="10" t="str">
        <f t="shared" si="8"/>
        <v>public Eg7028AddressModel (@JsonProperty("codadrkey") long codadrkey, @JsonProperty("codorgkey") long codorgkey, @JsonProperty("codpostype") String codpostype, @JsonProperty("deliposuf") String deliposuf, @JsonProperty("codpostal") String codpostal, @JsonProperty("orgganame") String orgganame, @JsonProperty("ad2Departm") String ad2Departm, @JsonProperty("ad3Bulding") String ad3Bulding, @JsonProperty("sbuildname") String sbuildname</v>
      </c>
      <c r="O10" s="10" t="str">
        <f t="shared" si="0"/>
        <v>this.sbuildname = sbuildname;</v>
      </c>
    </row>
    <row r="11" spans="1:15" x14ac:dyDescent="0.25">
      <c r="C11" s="8" t="s">
        <v>23</v>
      </c>
      <c r="D11" s="8" t="s">
        <v>120</v>
      </c>
      <c r="E11" s="8" t="s">
        <v>136</v>
      </c>
      <c r="F11" s="10" t="str">
        <f t="shared" si="1"/>
        <v>private short numbuildin;</v>
      </c>
      <c r="G11" s="10" t="str">
        <f t="shared" si="9"/>
        <v>public Eg7028AddressModel (long codadrkey, long codorgkey, String codpostype, String deliposuf, String codpostal, String orgganame, String ad2Departm, String ad3Bulding, String sbuildname, short numbuildin</v>
      </c>
      <c r="H11" s="10" t="str">
        <f t="shared" si="2"/>
        <v>this.numbuildin = numbuildin;</v>
      </c>
      <c r="I11" s="10" t="str">
        <f t="shared" si="3"/>
        <v>private short numbuildin;</v>
      </c>
      <c r="J11" s="10" t="str">
        <f t="shared" si="4"/>
        <v>private</v>
      </c>
      <c r="K11" s="10" t="str">
        <f t="shared" si="5"/>
        <v>short numbuildin;</v>
      </c>
      <c r="L11" s="10" t="str">
        <f t="shared" si="6"/>
        <v>short</v>
      </c>
      <c r="M11" s="10" t="str">
        <f t="shared" si="7"/>
        <v>numbuildin</v>
      </c>
      <c r="N11" s="10" t="str">
        <f t="shared" si="8"/>
        <v>public Eg7028AddressModel (@JsonProperty("codadrkey") long codadrkey, @JsonProperty("codorgkey") long codorgkey, @JsonProperty("codpostype") String codpostype, @JsonProperty("deliposuf") String deliposuf, @JsonProperty("codpostal") String codpostal, @JsonProperty("orgganame") String orgganame, @JsonProperty("ad2Departm") String ad2Departm, @JsonProperty("ad3Bulding") String ad3Bulding, @JsonProperty("sbuildname") String sbuildname, @JsonProperty("numbuildin") short numbuildin</v>
      </c>
      <c r="O11" s="10" t="str">
        <f t="shared" si="0"/>
        <v>this.numbuildin = numbuildin;</v>
      </c>
    </row>
    <row r="12" spans="1:15" x14ac:dyDescent="0.25">
      <c r="C12" s="8" t="s">
        <v>23</v>
      </c>
      <c r="D12" s="8" t="s">
        <v>126</v>
      </c>
      <c r="E12" s="8" t="s">
        <v>137</v>
      </c>
      <c r="F12" s="10" t="str">
        <f t="shared" si="1"/>
        <v>private String thoroname;</v>
      </c>
      <c r="G12" s="10" t="str">
        <f t="shared" si="9"/>
        <v>public Eg7028AddressModel (long codadrkey, long codorgkey, String codpostype, String deliposuf, String codpostal, String orgganame, String ad2Departm, String ad3Bulding, String sbuildname, short numbuildin, String thoroname</v>
      </c>
      <c r="H12" s="10" t="str">
        <f t="shared" si="2"/>
        <v>this.thoroname = thoroname;</v>
      </c>
      <c r="I12" s="10" t="str">
        <f t="shared" si="3"/>
        <v>private String thoroname;</v>
      </c>
      <c r="J12" s="10" t="str">
        <f t="shared" si="4"/>
        <v>private</v>
      </c>
      <c r="K12" s="10" t="str">
        <f t="shared" si="5"/>
        <v>String thoroname;</v>
      </c>
      <c r="L12" s="10" t="str">
        <f t="shared" si="6"/>
        <v>String</v>
      </c>
      <c r="M12" s="10" t="str">
        <f t="shared" si="7"/>
        <v>thoroname</v>
      </c>
      <c r="N12" s="10" t="str">
        <f t="shared" si="8"/>
        <v>public Eg7028AddressModel (@JsonProperty("codadrkey") long codadrkey, @JsonProperty("codorgkey") long codorgkey, @JsonProperty("codpostype") String codpostype, @JsonProperty("deliposuf") String deliposuf, @JsonProperty("codpostal") String codpostal, @JsonProperty("orgganame") String orgganame, @JsonProperty("ad2Departm") String ad2Departm, @JsonProperty("ad3Bulding") String ad3Bulding, @JsonProperty("sbuildname") String sbuildname, @JsonProperty("numbuildin") short numbuildin, @JsonProperty("thoroname") String thoroname</v>
      </c>
      <c r="O12" s="10" t="str">
        <f t="shared" si="0"/>
        <v>this.thoroname = thoroname;</v>
      </c>
    </row>
    <row r="13" spans="1:15" x14ac:dyDescent="0.25">
      <c r="C13" s="8" t="s">
        <v>23</v>
      </c>
      <c r="D13" s="8" t="s">
        <v>126</v>
      </c>
      <c r="E13" s="8" t="s">
        <v>138</v>
      </c>
      <c r="F13" s="10" t="str">
        <f t="shared" si="1"/>
        <v>private String ad6Twnlndi;</v>
      </c>
      <c r="G13" s="10" t="str">
        <f t="shared" si="9"/>
        <v>public Eg7028AddressModel (long codadrkey, long codorgkey, String codpostype, String deliposuf, String codpostal, String orgganame, String ad2Departm, String ad3Bulding, String sbuildname, short numbuildin, String thoroname, String ad6Twnlndi</v>
      </c>
      <c r="H13" s="10" t="str">
        <f t="shared" si="2"/>
        <v>this.ad6Twnlndi = ad6Twnlndi;</v>
      </c>
      <c r="I13" s="10" t="str">
        <f t="shared" si="3"/>
        <v>private String ad6Twnlndi;</v>
      </c>
      <c r="J13" s="10" t="str">
        <f t="shared" si="4"/>
        <v>private</v>
      </c>
      <c r="K13" s="10" t="str">
        <f t="shared" si="5"/>
        <v>String ad6Twnlndi;</v>
      </c>
      <c r="L13" s="10" t="str">
        <f t="shared" si="6"/>
        <v>String</v>
      </c>
      <c r="M13" s="10" t="str">
        <f t="shared" si="7"/>
        <v>ad6Twnlndi</v>
      </c>
      <c r="N13" s="10" t="str">
        <f t="shared" si="8"/>
        <v>public Eg7028AddressModel (@JsonProperty("codadrkey") long codadrkey, @JsonProperty("codorgkey") long codorgkey, @JsonProperty("codpostype") String codpostype, @JsonProperty("deliposuf") String deliposuf, @JsonProperty("codpostal") String codpostal, @JsonProperty("orgganame") String orgganame, @JsonProperty("ad2Departm") String ad2Departm, @JsonProperty("ad3Bulding") String ad3Bulding, @JsonProperty("sbuildname") String sbuildname, @JsonProperty("numbuildin") short numbuildin, @JsonProperty("thoroname") String thoroname, @JsonProperty("ad6Twnlndi") String ad6Twnlndi</v>
      </c>
      <c r="O13" s="10" t="str">
        <f t="shared" si="0"/>
        <v>this.ad6Twnlndi = ad6Twnlndi;</v>
      </c>
    </row>
    <row r="14" spans="1:15" x14ac:dyDescent="0.25">
      <c r="C14" s="8" t="s">
        <v>23</v>
      </c>
      <c r="D14" s="8" t="s">
        <v>126</v>
      </c>
      <c r="E14" s="8" t="s">
        <v>139</v>
      </c>
      <c r="F14" s="10" t="str">
        <f t="shared" si="1"/>
        <v>private String ad7Postown;</v>
      </c>
      <c r="G14" s="10" t="str">
        <f t="shared" si="9"/>
        <v>public Eg7028AddressModel (long codadrkey, long codorgkey, String codpostype, String deliposuf, String codpostal, String orgganame, String ad2Departm, String ad3Bulding, String sbuildname, short numbuildin, String thoroname, String ad6Twnlndi, String ad7Postown</v>
      </c>
      <c r="H14" s="10" t="str">
        <f t="shared" si="2"/>
        <v>this.ad7Postown = ad7Postown;</v>
      </c>
      <c r="I14" s="10" t="str">
        <f t="shared" si="3"/>
        <v>private String ad7Postown;</v>
      </c>
      <c r="J14" s="10" t="str">
        <f t="shared" si="4"/>
        <v>private</v>
      </c>
      <c r="K14" s="10" t="str">
        <f t="shared" si="5"/>
        <v>String ad7Postown;</v>
      </c>
      <c r="L14" s="10" t="str">
        <f t="shared" si="6"/>
        <v>String</v>
      </c>
      <c r="M14" s="10" t="str">
        <f t="shared" si="7"/>
        <v>ad7Postown</v>
      </c>
      <c r="N14" s="10" t="str">
        <f t="shared" si="8"/>
        <v>public Eg7028AddressModel (@JsonProperty("codadrkey") long codadrkey, @JsonProperty("codorgkey") long codorgkey, @JsonProperty("codpostype") String codpostype, @JsonProperty("deliposuf") String deliposuf, @JsonProperty("codpostal") String codpostal, @JsonProperty("orgganame") String orgganame, @JsonProperty("ad2Departm") String ad2Departm, @JsonProperty("ad3Bulding") String ad3Bulding, @JsonProperty("sbuildname") String sbuildname, @JsonProperty("numbuildin") short numbuildin, @JsonProperty("thoroname") String thoroname, @JsonProperty("ad6Twnlndi") String ad6Twnlndi, @JsonProperty("ad7Postown") String ad7Postown</v>
      </c>
      <c r="O14" s="10" t="str">
        <f t="shared" si="0"/>
        <v>this.ad7Postown = ad7Postown;</v>
      </c>
    </row>
    <row r="15" spans="1:15" x14ac:dyDescent="0.25">
      <c r="C15" s="8"/>
      <c r="D15" s="8"/>
      <c r="E15" s="8"/>
      <c r="F15" s="10" t="str">
        <f t="shared" ref="F15" si="10">C15&amp;" "&amp;D15&amp;" "&amp;E15&amp;";"</f>
        <v xml:space="preserve">  ;</v>
      </c>
      <c r="G15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2" sqref="J2"/>
    </sheetView>
  </sheetViews>
  <sheetFormatPr defaultRowHeight="15" x14ac:dyDescent="0.25"/>
  <cols>
    <col min="1" max="1" width="9.140625" style="3"/>
    <col min="2" max="2" width="34.85546875" style="3" bestFit="1" customWidth="1"/>
    <col min="3" max="4" width="24.5703125" style="3" bestFit="1" customWidth="1"/>
    <col min="5" max="5" width="15.28515625" style="3" bestFit="1" customWidth="1"/>
    <col min="6" max="6" width="17.7109375" style="3" bestFit="1" customWidth="1"/>
    <col min="7" max="7" width="9.140625" style="3"/>
    <col min="8" max="8" width="11.28515625" style="3" bestFit="1" customWidth="1"/>
    <col min="9" max="9" width="66.85546875" style="3" customWidth="1"/>
    <col min="10" max="10" width="29.7109375" style="3" bestFit="1" customWidth="1"/>
    <col min="11" max="16384" width="9.140625" style="3"/>
  </cols>
  <sheetData>
    <row r="1" spans="1:10" s="2" customFormat="1" x14ac:dyDescent="0.25">
      <c r="A1" s="2" t="s">
        <v>6</v>
      </c>
      <c r="B1" s="7" t="s">
        <v>224</v>
      </c>
      <c r="C1" s="9" t="s">
        <v>1</v>
      </c>
      <c r="D1" s="9" t="s">
        <v>0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7</v>
      </c>
      <c r="J1" s="9" t="s">
        <v>8</v>
      </c>
    </row>
    <row r="2" spans="1:10" x14ac:dyDescent="0.25">
      <c r="C2" s="8" t="s">
        <v>225</v>
      </c>
      <c r="D2" s="10" t="str">
        <f>TRIM(C2)</f>
        <v>private List&lt;Dependency&gt; dependencies;</v>
      </c>
      <c r="E2" s="10" t="str">
        <f>IF(LEFT(C2,LEN("private"))="private","private",IF(LEFT(C2,LEN("public"))="public","public",IF(LEFT(C2,LEN("protected"))="protected","protected","")))</f>
        <v>private</v>
      </c>
      <c r="F2" s="10" t="str">
        <f>TRIM(RIGHT(D2,LEN(D2)-LEN(E2)))</f>
        <v>List&lt;Dependency&gt; dependencies;</v>
      </c>
      <c r="G2" s="10" t="str">
        <f>LEFT(F2,FIND(" ",F2)-1)</f>
        <v>List&lt;Dependency&gt;</v>
      </c>
      <c r="H2" s="10" t="str">
        <f>MID(F2,LEN(G2)+2,LEN(F2)-LEN(G2)-2)</f>
        <v>dependencies</v>
      </c>
      <c r="I2" s="10" t="str">
        <f>"public "&amp;B1&amp;" ("&amp;"@JsonProperty("""&amp;H2&amp;""") "&amp;G2&amp;" "&amp;H2</f>
        <v>public Dependency (@JsonProperty("dependencies") List&lt;Dependency&gt; dependencies</v>
      </c>
      <c r="J2" s="10" t="str">
        <f>IF(H2&lt;&gt;"","this."&amp;H2&amp;" = "&amp;H2&amp;";","")</f>
        <v>this.dependencies = dependencies;</v>
      </c>
    </row>
    <row r="3" spans="1:10" x14ac:dyDescent="0.25">
      <c r="C3" s="8"/>
      <c r="D3" s="10" t="str">
        <f t="shared" ref="D3:D14" si="0">TRIM(C3)</f>
        <v/>
      </c>
      <c r="E3" s="10" t="str">
        <f t="shared" ref="E3:E14" si="1">IF(LEFT(C3,LEN("private"))="private","private","")</f>
        <v/>
      </c>
      <c r="F3" s="10" t="str">
        <f t="shared" ref="F3:F8" si="2">TRIM(RIGHT(D3,LEN(D3)-LEN(E3)))</f>
        <v/>
      </c>
      <c r="G3" s="10" t="e">
        <f t="shared" ref="G3:G8" si="3">LEFT(F3,FIND(" ",F3)-1)</f>
        <v>#VALUE!</v>
      </c>
      <c r="H3" s="10" t="e">
        <f t="shared" ref="H3:H8" si="4">MID(F3,LEN(G3)+2,LEN(F3)-LEN(G3)-2)</f>
        <v>#VALUE!</v>
      </c>
      <c r="I3" s="10" t="e">
        <f t="shared" ref="I3:I8" si="5">I2&amp;IF(H3&lt;&gt;"",", "&amp;"@JsonProperty("""&amp;H3&amp;""") "&amp;G3&amp;" "&amp;H3,")")</f>
        <v>#VALUE!</v>
      </c>
      <c r="J3" s="10" t="e">
        <f t="shared" ref="J3:J8" si="6">IF(H3&lt;&gt;"","this."&amp;H3&amp;" = "&amp;H3&amp;";","")</f>
        <v>#VALUE!</v>
      </c>
    </row>
    <row r="4" spans="1:10" x14ac:dyDescent="0.25">
      <c r="C4" s="8"/>
      <c r="D4" s="10" t="str">
        <f t="shared" si="0"/>
        <v/>
      </c>
      <c r="E4" s="10" t="str">
        <f t="shared" si="1"/>
        <v/>
      </c>
      <c r="F4" s="10" t="str">
        <f t="shared" si="2"/>
        <v/>
      </c>
      <c r="G4" s="10" t="e">
        <f t="shared" si="3"/>
        <v>#VALUE!</v>
      </c>
      <c r="H4" s="10" t="e">
        <f t="shared" si="4"/>
        <v>#VALUE!</v>
      </c>
      <c r="I4" s="10" t="e">
        <f t="shared" si="5"/>
        <v>#VALUE!</v>
      </c>
      <c r="J4" s="10" t="e">
        <f t="shared" si="6"/>
        <v>#VALUE!</v>
      </c>
    </row>
    <row r="5" spans="1:10" x14ac:dyDescent="0.25">
      <c r="C5" s="8"/>
      <c r="D5" s="10" t="str">
        <f t="shared" si="0"/>
        <v/>
      </c>
      <c r="E5" s="10" t="str">
        <f t="shared" si="1"/>
        <v/>
      </c>
      <c r="F5" s="10" t="str">
        <f t="shared" si="2"/>
        <v/>
      </c>
      <c r="G5" s="10" t="e">
        <f t="shared" si="3"/>
        <v>#VALUE!</v>
      </c>
      <c r="H5" s="10" t="e">
        <f t="shared" si="4"/>
        <v>#VALUE!</v>
      </c>
      <c r="I5" s="10" t="e">
        <f t="shared" si="5"/>
        <v>#VALUE!</v>
      </c>
      <c r="J5" s="10" t="e">
        <f t="shared" si="6"/>
        <v>#VALUE!</v>
      </c>
    </row>
    <row r="6" spans="1:10" x14ac:dyDescent="0.25">
      <c r="C6" s="8"/>
      <c r="D6" s="10" t="str">
        <f t="shared" si="0"/>
        <v/>
      </c>
      <c r="E6" s="10" t="str">
        <f t="shared" si="1"/>
        <v/>
      </c>
      <c r="F6" s="10" t="str">
        <f t="shared" si="2"/>
        <v/>
      </c>
      <c r="G6" s="10" t="e">
        <f t="shared" si="3"/>
        <v>#VALUE!</v>
      </c>
      <c r="H6" s="10" t="e">
        <f t="shared" si="4"/>
        <v>#VALUE!</v>
      </c>
      <c r="I6" s="10" t="e">
        <f t="shared" si="5"/>
        <v>#VALUE!</v>
      </c>
      <c r="J6" s="10" t="e">
        <f t="shared" si="6"/>
        <v>#VALUE!</v>
      </c>
    </row>
    <row r="7" spans="1:10" x14ac:dyDescent="0.25">
      <c r="C7" s="8"/>
      <c r="D7" s="10" t="str">
        <f t="shared" si="0"/>
        <v/>
      </c>
      <c r="E7" s="10" t="str">
        <f t="shared" si="1"/>
        <v/>
      </c>
      <c r="F7" s="10" t="str">
        <f t="shared" si="2"/>
        <v/>
      </c>
      <c r="G7" s="10" t="e">
        <f t="shared" si="3"/>
        <v>#VALUE!</v>
      </c>
      <c r="H7" s="10" t="e">
        <f t="shared" si="4"/>
        <v>#VALUE!</v>
      </c>
      <c r="I7" s="10" t="e">
        <f t="shared" si="5"/>
        <v>#VALUE!</v>
      </c>
      <c r="J7" s="10" t="e">
        <f t="shared" si="6"/>
        <v>#VALUE!</v>
      </c>
    </row>
    <row r="8" spans="1:10" x14ac:dyDescent="0.25">
      <c r="C8" s="8"/>
      <c r="D8" s="10" t="str">
        <f t="shared" si="0"/>
        <v/>
      </c>
      <c r="E8" s="10" t="str">
        <f t="shared" si="1"/>
        <v/>
      </c>
      <c r="F8" s="10" t="str">
        <f t="shared" si="2"/>
        <v/>
      </c>
      <c r="G8" s="10" t="e">
        <f t="shared" si="3"/>
        <v>#VALUE!</v>
      </c>
      <c r="H8" s="10" t="e">
        <f t="shared" si="4"/>
        <v>#VALUE!</v>
      </c>
      <c r="I8" s="10" t="e">
        <f t="shared" si="5"/>
        <v>#VALUE!</v>
      </c>
      <c r="J8" s="10" t="e">
        <f t="shared" si="6"/>
        <v>#VALUE!</v>
      </c>
    </row>
    <row r="9" spans="1:10" x14ac:dyDescent="0.25">
      <c r="C9" s="8"/>
      <c r="D9" s="10" t="str">
        <f t="shared" si="0"/>
        <v/>
      </c>
      <c r="E9" s="10" t="str">
        <f t="shared" si="1"/>
        <v/>
      </c>
      <c r="F9" s="10" t="str">
        <f t="shared" ref="F9:F14" si="7">TRIM(RIGHT(D9,LEN(D9)-LEN(E9)))</f>
        <v/>
      </c>
      <c r="G9" s="10" t="e">
        <f t="shared" ref="G9:G14" si="8">LEFT(F9,FIND(" ",F9)-1)</f>
        <v>#VALUE!</v>
      </c>
      <c r="H9" s="10" t="e">
        <f t="shared" ref="H9:H14" si="9">MID(F9,LEN(G9)+2,LEN(F9)-LEN(G9)-2)</f>
        <v>#VALUE!</v>
      </c>
      <c r="I9" s="10" t="e">
        <f t="shared" ref="I9:I14" si="10">I8&amp;IF(H9&lt;&gt;"",", "&amp;"@JsonProperty("""&amp;H9&amp;""") "&amp;G9&amp;" "&amp;H9,")")</f>
        <v>#VALUE!</v>
      </c>
      <c r="J9" s="10" t="e">
        <f t="shared" ref="J9:J14" si="11">IF(H9&lt;&gt;"","this."&amp;H9&amp;" = "&amp;H9&amp;";","")</f>
        <v>#VALUE!</v>
      </c>
    </row>
    <row r="10" spans="1:10" x14ac:dyDescent="0.25">
      <c r="C10" s="8"/>
      <c r="D10" s="10" t="str">
        <f t="shared" si="0"/>
        <v/>
      </c>
      <c r="E10" s="10" t="str">
        <f t="shared" si="1"/>
        <v/>
      </c>
      <c r="F10" s="10" t="str">
        <f t="shared" si="7"/>
        <v/>
      </c>
      <c r="G10" s="10" t="e">
        <f t="shared" si="8"/>
        <v>#VALUE!</v>
      </c>
      <c r="H10" s="10" t="e">
        <f t="shared" si="9"/>
        <v>#VALUE!</v>
      </c>
      <c r="I10" s="10" t="e">
        <f t="shared" si="10"/>
        <v>#VALUE!</v>
      </c>
      <c r="J10" s="10" t="e">
        <f t="shared" si="11"/>
        <v>#VALUE!</v>
      </c>
    </row>
    <row r="11" spans="1:10" x14ac:dyDescent="0.25">
      <c r="C11" s="8"/>
      <c r="D11" s="10" t="str">
        <f t="shared" si="0"/>
        <v/>
      </c>
      <c r="E11" s="10" t="str">
        <f t="shared" si="1"/>
        <v/>
      </c>
      <c r="F11" s="10" t="str">
        <f t="shared" si="7"/>
        <v/>
      </c>
      <c r="G11" s="10" t="e">
        <f t="shared" si="8"/>
        <v>#VALUE!</v>
      </c>
      <c r="H11" s="10" t="e">
        <f t="shared" si="9"/>
        <v>#VALUE!</v>
      </c>
      <c r="I11" s="10" t="e">
        <f t="shared" si="10"/>
        <v>#VALUE!</v>
      </c>
      <c r="J11" s="10" t="e">
        <f t="shared" si="11"/>
        <v>#VALUE!</v>
      </c>
    </row>
    <row r="12" spans="1:10" x14ac:dyDescent="0.25">
      <c r="C12" s="8"/>
      <c r="D12" s="10" t="str">
        <f t="shared" si="0"/>
        <v/>
      </c>
      <c r="E12" s="10" t="str">
        <f t="shared" si="1"/>
        <v/>
      </c>
      <c r="F12" s="10" t="str">
        <f t="shared" si="7"/>
        <v/>
      </c>
      <c r="G12" s="10" t="e">
        <f t="shared" si="8"/>
        <v>#VALUE!</v>
      </c>
      <c r="H12" s="10" t="e">
        <f t="shared" si="9"/>
        <v>#VALUE!</v>
      </c>
      <c r="I12" s="10" t="e">
        <f t="shared" si="10"/>
        <v>#VALUE!</v>
      </c>
      <c r="J12" s="10" t="e">
        <f t="shared" si="11"/>
        <v>#VALUE!</v>
      </c>
    </row>
    <row r="13" spans="1:10" x14ac:dyDescent="0.25">
      <c r="C13" s="8"/>
      <c r="D13" s="10" t="str">
        <f t="shared" si="0"/>
        <v/>
      </c>
      <c r="E13" s="10" t="str">
        <f t="shared" si="1"/>
        <v/>
      </c>
      <c r="F13" s="10" t="str">
        <f t="shared" si="7"/>
        <v/>
      </c>
      <c r="G13" s="10" t="e">
        <f t="shared" si="8"/>
        <v>#VALUE!</v>
      </c>
      <c r="H13" s="10" t="e">
        <f t="shared" si="9"/>
        <v>#VALUE!</v>
      </c>
      <c r="I13" s="10" t="e">
        <f t="shared" si="10"/>
        <v>#VALUE!</v>
      </c>
      <c r="J13" s="10" t="e">
        <f t="shared" si="11"/>
        <v>#VALUE!</v>
      </c>
    </row>
    <row r="14" spans="1:10" x14ac:dyDescent="0.25">
      <c r="C14" s="8"/>
      <c r="D14" s="10" t="str">
        <f t="shared" si="0"/>
        <v/>
      </c>
      <c r="E14" s="10" t="str">
        <f t="shared" si="1"/>
        <v/>
      </c>
      <c r="F14" s="10" t="str">
        <f t="shared" si="7"/>
        <v/>
      </c>
      <c r="G14" s="10" t="e">
        <f t="shared" si="8"/>
        <v>#VALUE!</v>
      </c>
      <c r="H14" s="10" t="e">
        <f t="shared" si="9"/>
        <v>#VALUE!</v>
      </c>
      <c r="I14" s="10" t="e">
        <f t="shared" si="10"/>
        <v>#VALUE!</v>
      </c>
      <c r="J14" s="10" t="e">
        <f t="shared" si="11"/>
        <v>#VALUE!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1" sqref="I11"/>
    </sheetView>
  </sheetViews>
  <sheetFormatPr defaultRowHeight="15" x14ac:dyDescent="0.25"/>
  <cols>
    <col min="1" max="1" width="10" style="5" bestFit="1" customWidth="1"/>
    <col min="2" max="2" width="10.42578125" style="5" bestFit="1" customWidth="1"/>
    <col min="3" max="3" width="23.7109375" style="5" bestFit="1" customWidth="1"/>
    <col min="4" max="4" width="18.7109375" style="5" bestFit="1" customWidth="1"/>
    <col min="5" max="5" width="12.28515625" style="5" bestFit="1" customWidth="1"/>
    <col min="6" max="6" width="13.85546875" style="5" bestFit="1" customWidth="1"/>
    <col min="7" max="7" width="20.42578125" style="5" bestFit="1" customWidth="1"/>
    <col min="8" max="8" width="25.7109375" style="5" bestFit="1" customWidth="1"/>
    <col min="9" max="9" width="39.42578125" style="5" bestFit="1" customWidth="1"/>
    <col min="10" max="16384" width="9.140625" style="5"/>
  </cols>
  <sheetData>
    <row r="1" spans="1:9" x14ac:dyDescent="0.25">
      <c r="A1" s="2" t="s">
        <v>123</v>
      </c>
      <c r="B1" s="7" t="s">
        <v>124</v>
      </c>
      <c r="C1" s="4" t="s">
        <v>9</v>
      </c>
      <c r="D1" s="4" t="s">
        <v>0</v>
      </c>
      <c r="E1" s="4" t="s">
        <v>5</v>
      </c>
      <c r="F1" s="4" t="s">
        <v>4</v>
      </c>
      <c r="G1" s="4" t="s">
        <v>2</v>
      </c>
      <c r="H1" s="4" t="s">
        <v>1</v>
      </c>
      <c r="I1" s="4" t="s">
        <v>117</v>
      </c>
    </row>
    <row r="2" spans="1:9" x14ac:dyDescent="0.25">
      <c r="C2" s="1" t="s">
        <v>10</v>
      </c>
      <c r="D2" s="6" t="str">
        <f>TRIM(C2)</f>
        <v>codadrkey : long</v>
      </c>
      <c r="E2" s="6" t="str">
        <f>LEFT(D2,FIND(" : ",D2)-1)</f>
        <v>codadrkey</v>
      </c>
      <c r="F2" s="6" t="str">
        <f>TRIM(RIGHT(D2,LEN(D2)-LEN(" : ")-LEN(E2)+1))</f>
        <v>long</v>
      </c>
      <c r="G2" s="6" t="s">
        <v>23</v>
      </c>
      <c r="H2" s="6" t="str">
        <f>G2&amp;" "&amp;F2&amp;" "&amp;E2&amp;";"</f>
        <v>private long codadrkey;</v>
      </c>
      <c r="I2" s="6" t="str">
        <f ca="1">IF($B$1&lt;&gt;"",$B$1&amp;".","")&amp;"set"&amp;UPPER(LEFT(E2,1))&amp;RIGHT(E2,LEN(E2)-1)&amp;"("&amp;IF(NOT(ISNA(MATCH(F2,INDIRECT(Params!$A$1),0))),0,"""""")&amp;");"</f>
        <v>beAddress.setCodadrkey(0);</v>
      </c>
    </row>
    <row r="3" spans="1:9" x14ac:dyDescent="0.25">
      <c r="C3" s="1" t="s">
        <v>11</v>
      </c>
      <c r="D3" s="6" t="str">
        <f t="shared" ref="D3:D14" si="0">TRIM(C3)</f>
        <v>codorgkey : long</v>
      </c>
      <c r="E3" s="6" t="str">
        <f t="shared" ref="E3:E14" si="1">LEFT(D3,FIND(" : ",D3)-1)</f>
        <v>codorgkey</v>
      </c>
      <c r="F3" s="6" t="str">
        <f t="shared" ref="F3:F14" si="2">TRIM(RIGHT(D3,LEN(D3)-LEN(" : ")-LEN(E3)+1))</f>
        <v>long</v>
      </c>
      <c r="G3" s="6" t="s">
        <v>23</v>
      </c>
      <c r="H3" s="6" t="str">
        <f t="shared" ref="H3:H14" si="3">G3&amp;" "&amp;F3&amp;" "&amp;E3&amp;";"</f>
        <v>private long codorgkey;</v>
      </c>
      <c r="I3" s="6" t="str">
        <f ca="1">IF($B$1&lt;&gt;"",$B$1&amp;".","")&amp;"set"&amp;UPPER(LEFT(E3,1))&amp;RIGHT(E3,LEN(E3)-1)&amp;"("&amp;IF(NOT(ISNA(MATCH(F3,INDIRECT(Params!$A$1),0))),0,"""""")&amp;");"</f>
        <v>beAddress.setCodorgkey(0);</v>
      </c>
    </row>
    <row r="4" spans="1:9" x14ac:dyDescent="0.25">
      <c r="C4" s="1" t="s">
        <v>12</v>
      </c>
      <c r="D4" s="6" t="str">
        <f t="shared" si="0"/>
        <v>codpostype : String</v>
      </c>
      <c r="E4" s="6" t="str">
        <f t="shared" si="1"/>
        <v>codpostype</v>
      </c>
      <c r="F4" s="6" t="str">
        <f t="shared" si="2"/>
        <v>String</v>
      </c>
      <c r="G4" s="6" t="s">
        <v>23</v>
      </c>
      <c r="H4" s="6" t="str">
        <f t="shared" si="3"/>
        <v>private String codpostype;</v>
      </c>
      <c r="I4" s="6" t="str">
        <f ca="1">IF($B$1&lt;&gt;"",$B$1&amp;".","")&amp;"set"&amp;UPPER(LEFT(E4,1))&amp;RIGHT(E4,LEN(E4)-1)&amp;"("&amp;IF(NOT(ISNA(MATCH(F4,INDIRECT(Params!$A$1),0))),0,"""""")&amp;");"</f>
        <v>beAddress.setCodpostype("");</v>
      </c>
    </row>
    <row r="5" spans="1:9" x14ac:dyDescent="0.25">
      <c r="C5" s="1" t="s">
        <v>13</v>
      </c>
      <c r="D5" s="6" t="str">
        <f t="shared" si="0"/>
        <v>deliposuf : String</v>
      </c>
      <c r="E5" s="6" t="str">
        <f t="shared" si="1"/>
        <v>deliposuf</v>
      </c>
      <c r="F5" s="6" t="str">
        <f t="shared" si="2"/>
        <v>String</v>
      </c>
      <c r="G5" s="6" t="s">
        <v>23</v>
      </c>
      <c r="H5" s="6" t="str">
        <f t="shared" si="3"/>
        <v>private String deliposuf;</v>
      </c>
      <c r="I5" s="6" t="str">
        <f ca="1">IF($B$1&lt;&gt;"",$B$1&amp;".","")&amp;"set"&amp;UPPER(LEFT(E5,1))&amp;RIGHT(E5,LEN(E5)-1)&amp;"("&amp;IF(NOT(ISNA(MATCH(F5,INDIRECT(Params!$A$1),0))),0,"""""")&amp;");"</f>
        <v>beAddress.setDeliposuf("");</v>
      </c>
    </row>
    <row r="6" spans="1:9" x14ac:dyDescent="0.25">
      <c r="C6" s="1" t="s">
        <v>14</v>
      </c>
      <c r="D6" s="6" t="str">
        <f t="shared" si="0"/>
        <v>codpostal : String</v>
      </c>
      <c r="E6" s="6" t="str">
        <f t="shared" si="1"/>
        <v>codpostal</v>
      </c>
      <c r="F6" s="6" t="str">
        <f t="shared" si="2"/>
        <v>String</v>
      </c>
      <c r="G6" s="6" t="s">
        <v>23</v>
      </c>
      <c r="H6" s="6" t="str">
        <f t="shared" si="3"/>
        <v>private String codpostal;</v>
      </c>
      <c r="I6" s="6" t="str">
        <f ca="1">IF($B$1&lt;&gt;"",$B$1&amp;".","")&amp;"set"&amp;UPPER(LEFT(E6,1))&amp;RIGHT(E6,LEN(E6)-1)&amp;"("&amp;IF(NOT(ISNA(MATCH(F6,INDIRECT(Params!$A$1),0))),0,"""""")&amp;");"</f>
        <v>beAddress.setCodpostal("");</v>
      </c>
    </row>
    <row r="7" spans="1:9" x14ac:dyDescent="0.25">
      <c r="C7" s="1" t="s">
        <v>15</v>
      </c>
      <c r="D7" s="6" t="str">
        <f t="shared" si="0"/>
        <v>orgganame : String</v>
      </c>
      <c r="E7" s="6" t="str">
        <f t="shared" si="1"/>
        <v>orgganame</v>
      </c>
      <c r="F7" s="6" t="str">
        <f t="shared" si="2"/>
        <v>String</v>
      </c>
      <c r="G7" s="6" t="s">
        <v>23</v>
      </c>
      <c r="H7" s="6" t="str">
        <f t="shared" si="3"/>
        <v>private String orgganame;</v>
      </c>
      <c r="I7" s="6" t="str">
        <f ca="1">IF($B$1&lt;&gt;"",$B$1&amp;".","")&amp;"set"&amp;UPPER(LEFT(E7,1))&amp;RIGHT(E7,LEN(E7)-1)&amp;"("&amp;IF(NOT(ISNA(MATCH(F7,INDIRECT(Params!$A$1),0))),0,"""""")&amp;");"</f>
        <v>beAddress.setOrgganame("");</v>
      </c>
    </row>
    <row r="8" spans="1:9" x14ac:dyDescent="0.25">
      <c r="C8" s="1" t="s">
        <v>16</v>
      </c>
      <c r="D8" s="6" t="str">
        <f t="shared" si="0"/>
        <v>ad2Departm : String</v>
      </c>
      <c r="E8" s="6" t="str">
        <f t="shared" si="1"/>
        <v>ad2Departm</v>
      </c>
      <c r="F8" s="6" t="str">
        <f t="shared" si="2"/>
        <v>String</v>
      </c>
      <c r="G8" s="6" t="s">
        <v>23</v>
      </c>
      <c r="H8" s="6" t="str">
        <f t="shared" si="3"/>
        <v>private String ad2Departm;</v>
      </c>
      <c r="I8" s="6" t="str">
        <f ca="1">IF($B$1&lt;&gt;"",$B$1&amp;".","")&amp;"set"&amp;UPPER(LEFT(E8,1))&amp;RIGHT(E8,LEN(E8)-1)&amp;"("&amp;IF(NOT(ISNA(MATCH(F8,INDIRECT(Params!$A$1),0))),0,"""""")&amp;");"</f>
        <v>beAddress.setAd2Departm("");</v>
      </c>
    </row>
    <row r="9" spans="1:9" x14ac:dyDescent="0.25">
      <c r="C9" s="1" t="s">
        <v>17</v>
      </c>
      <c r="D9" s="6" t="str">
        <f t="shared" si="0"/>
        <v>ad3Bulding : String</v>
      </c>
      <c r="E9" s="6" t="str">
        <f t="shared" si="1"/>
        <v>ad3Bulding</v>
      </c>
      <c r="F9" s="6" t="str">
        <f t="shared" si="2"/>
        <v>String</v>
      </c>
      <c r="G9" s="6" t="s">
        <v>23</v>
      </c>
      <c r="H9" s="6" t="str">
        <f t="shared" si="3"/>
        <v>private String ad3Bulding;</v>
      </c>
      <c r="I9" s="6" t="str">
        <f ca="1">IF($B$1&lt;&gt;"",$B$1&amp;".","")&amp;"set"&amp;UPPER(LEFT(E9,1))&amp;RIGHT(E9,LEN(E9)-1)&amp;"("&amp;IF(NOT(ISNA(MATCH(F9,INDIRECT(Params!$A$1),0))),0,"""""")&amp;");"</f>
        <v>beAddress.setAd3Bulding("");</v>
      </c>
    </row>
    <row r="10" spans="1:9" x14ac:dyDescent="0.25">
      <c r="C10" s="1" t="s">
        <v>18</v>
      </c>
      <c r="D10" s="6" t="str">
        <f t="shared" si="0"/>
        <v>sbuildname : String</v>
      </c>
      <c r="E10" s="6" t="str">
        <f t="shared" si="1"/>
        <v>sbuildname</v>
      </c>
      <c r="F10" s="6" t="str">
        <f t="shared" si="2"/>
        <v>String</v>
      </c>
      <c r="G10" s="6" t="s">
        <v>23</v>
      </c>
      <c r="H10" s="6" t="str">
        <f t="shared" si="3"/>
        <v>private String sbuildname;</v>
      </c>
      <c r="I10" s="6" t="str">
        <f ca="1">IF($B$1&lt;&gt;"",$B$1&amp;".","")&amp;"set"&amp;UPPER(LEFT(E10,1))&amp;RIGHT(E10,LEN(E10)-1)&amp;"("&amp;IF(NOT(ISNA(MATCH(F10,INDIRECT(Params!$A$1),0))),0,"""""")&amp;");"</f>
        <v>beAddress.setSbuildname("");</v>
      </c>
    </row>
    <row r="11" spans="1:9" x14ac:dyDescent="0.25">
      <c r="C11" s="1" t="s">
        <v>19</v>
      </c>
      <c r="D11" s="6" t="str">
        <f t="shared" si="0"/>
        <v>numbuildin : short</v>
      </c>
      <c r="E11" s="6" t="str">
        <f t="shared" si="1"/>
        <v>numbuildin</v>
      </c>
      <c r="F11" s="6" t="str">
        <f t="shared" si="2"/>
        <v>short</v>
      </c>
      <c r="G11" s="6" t="s">
        <v>23</v>
      </c>
      <c r="H11" s="6" t="str">
        <f t="shared" si="3"/>
        <v>private short numbuildin;</v>
      </c>
      <c r="I11" s="6" t="str">
        <f ca="1">IF($B$1&lt;&gt;"",$B$1&amp;".","")&amp;"set"&amp;UPPER(LEFT(E11,1))&amp;RIGHT(E11,LEN(E11)-1)&amp;"("&amp;IF(NOT(ISNA(MATCH(F11,INDIRECT(Params!$A$1),0))),0,"""""")&amp;");"</f>
        <v>beAddress.setNumbuildin(0);</v>
      </c>
    </row>
    <row r="12" spans="1:9" x14ac:dyDescent="0.25">
      <c r="C12" s="1" t="s">
        <v>20</v>
      </c>
      <c r="D12" s="6" t="str">
        <f t="shared" si="0"/>
        <v>thoroname : String</v>
      </c>
      <c r="E12" s="6" t="str">
        <f t="shared" si="1"/>
        <v>thoroname</v>
      </c>
      <c r="F12" s="6" t="str">
        <f t="shared" si="2"/>
        <v>String</v>
      </c>
      <c r="G12" s="6" t="s">
        <v>23</v>
      </c>
      <c r="H12" s="6" t="str">
        <f t="shared" si="3"/>
        <v>private String thoroname;</v>
      </c>
      <c r="I12" s="6" t="str">
        <f ca="1">IF($B$1&lt;&gt;"",$B$1&amp;".","")&amp;"set"&amp;UPPER(LEFT(E12,1))&amp;RIGHT(E12,LEN(E12)-1)&amp;"("&amp;IF(NOT(ISNA(MATCH(F12,INDIRECT(Params!$A$1),0))),0,"""""")&amp;");"</f>
        <v>beAddress.setThoroname("");</v>
      </c>
    </row>
    <row r="13" spans="1:9" x14ac:dyDescent="0.25">
      <c r="C13" s="1" t="s">
        <v>21</v>
      </c>
      <c r="D13" s="6" t="str">
        <f t="shared" si="0"/>
        <v>ad6Twnlndi : String</v>
      </c>
      <c r="E13" s="6" t="str">
        <f t="shared" si="1"/>
        <v>ad6Twnlndi</v>
      </c>
      <c r="F13" s="6" t="str">
        <f t="shared" si="2"/>
        <v>String</v>
      </c>
      <c r="G13" s="6" t="s">
        <v>23</v>
      </c>
      <c r="H13" s="6" t="str">
        <f t="shared" si="3"/>
        <v>private String ad6Twnlndi;</v>
      </c>
      <c r="I13" s="6" t="str">
        <f ca="1">IF($B$1&lt;&gt;"",$B$1&amp;".","")&amp;"set"&amp;UPPER(LEFT(E13,1))&amp;RIGHT(E13,LEN(E13)-1)&amp;"("&amp;IF(NOT(ISNA(MATCH(F13,INDIRECT(Params!$A$1),0))),0,"""""")&amp;");"</f>
        <v>beAddress.setAd6Twnlndi("");</v>
      </c>
    </row>
    <row r="14" spans="1:9" x14ac:dyDescent="0.25">
      <c r="C14" s="1" t="s">
        <v>22</v>
      </c>
      <c r="D14" s="6" t="str">
        <f t="shared" si="0"/>
        <v>ad7Postown : String</v>
      </c>
      <c r="E14" s="6" t="str">
        <f t="shared" si="1"/>
        <v>ad7Postown</v>
      </c>
      <c r="F14" s="6" t="str">
        <f t="shared" si="2"/>
        <v>String</v>
      </c>
      <c r="G14" s="6" t="s">
        <v>23</v>
      </c>
      <c r="H14" s="6" t="str">
        <f t="shared" si="3"/>
        <v>private String ad7Postown;</v>
      </c>
      <c r="I14" s="6" t="str">
        <f ca="1">IF($B$1&lt;&gt;"",$B$1&amp;".","")&amp;"set"&amp;UPPER(LEFT(E14,1))&amp;RIGHT(E14,LEN(E14)-1)&amp;"("&amp;IF(NOT(ISNA(MATCH(F14,INDIRECT(Params!$A$1),0))),0,"""""")&amp;");"</f>
        <v>beAddress.setAd7Postown("");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45"/>
  <sheetViews>
    <sheetView workbookViewId="0">
      <selection activeCell="D14" sqref="D14"/>
    </sheetView>
  </sheetViews>
  <sheetFormatPr defaultRowHeight="15" outlineLevelRow="3" x14ac:dyDescent="0.25"/>
  <cols>
    <col min="1" max="1" width="27.85546875" style="3" bestFit="1" customWidth="1"/>
    <col min="2" max="2" width="28.5703125" style="3" bestFit="1" customWidth="1"/>
    <col min="3" max="3" width="73.42578125" style="3" bestFit="1" customWidth="1"/>
    <col min="4" max="4" width="20" style="3" bestFit="1" customWidth="1"/>
    <col min="5" max="5" width="11.85546875" style="3" bestFit="1" customWidth="1"/>
    <col min="6" max="6" width="24.5703125" style="3" bestFit="1" customWidth="1"/>
    <col min="7" max="7" width="66.85546875" style="3" customWidth="1"/>
    <col min="8" max="8" width="29.7109375" style="3" bestFit="1" customWidth="1"/>
    <col min="9" max="9" width="24.5703125" style="3" bestFit="1" customWidth="1"/>
    <col min="10" max="10" width="15.28515625" style="3" bestFit="1" customWidth="1"/>
    <col min="11" max="11" width="17.7109375" style="3" bestFit="1" customWidth="1"/>
    <col min="12" max="12" width="9.140625" style="3"/>
    <col min="13" max="13" width="11.28515625" style="3" bestFit="1" customWidth="1"/>
    <col min="14" max="14" width="66.85546875" style="3" customWidth="1"/>
    <col min="15" max="15" width="29.7109375" style="3" bestFit="1" customWidth="1"/>
    <col min="16" max="16384" width="9.140625" style="3"/>
  </cols>
  <sheetData>
    <row r="1" spans="1:4" s="2" customFormat="1" x14ac:dyDescent="0.25">
      <c r="A1" s="2" t="s">
        <v>5</v>
      </c>
      <c r="B1" s="2" t="s">
        <v>4</v>
      </c>
      <c r="C1" s="2" t="s">
        <v>192</v>
      </c>
      <c r="D1" s="2" t="s">
        <v>193</v>
      </c>
    </row>
    <row r="2" spans="1:4" x14ac:dyDescent="0.25">
      <c r="A2" s="3" t="s">
        <v>140</v>
      </c>
      <c r="B2" s="3" t="s">
        <v>141</v>
      </c>
      <c r="C2" s="3" t="str">
        <f>A2</f>
        <v>responseParent</v>
      </c>
    </row>
    <row r="3" spans="1:4" outlineLevel="1" x14ac:dyDescent="0.25">
      <c r="A3" s="3" t="s">
        <v>142</v>
      </c>
      <c r="B3" s="3" t="s">
        <v>144</v>
      </c>
      <c r="C3" s="3" t="str">
        <f>C$2&amp;"."&amp;A3</f>
        <v>responseParent.staticData</v>
      </c>
    </row>
    <row r="4" spans="1:4" outlineLevel="2" x14ac:dyDescent="0.25">
      <c r="A4" s="3" t="s">
        <v>146</v>
      </c>
      <c r="B4" s="3" t="s">
        <v>148</v>
      </c>
      <c r="C4" s="3" t="str">
        <f>C$3&amp;"."&amp;A4</f>
        <v>responseParent.staticData.source</v>
      </c>
    </row>
    <row r="5" spans="1:4" outlineLevel="3" x14ac:dyDescent="0.25">
      <c r="A5" s="3" t="s">
        <v>149</v>
      </c>
      <c r="B5" s="3" t="s">
        <v>121</v>
      </c>
      <c r="C5" s="3" t="str">
        <f>C$4&amp;"[i]."&amp;A5</f>
        <v>responseParent.staticData.source[i].id</v>
      </c>
    </row>
    <row r="6" spans="1:4" outlineLevel="3" x14ac:dyDescent="0.25">
      <c r="A6" s="3" t="s">
        <v>150</v>
      </c>
      <c r="B6" s="3" t="s">
        <v>126</v>
      </c>
      <c r="C6" s="3" t="str">
        <f>C$4&amp;"[i]."&amp;A6</f>
        <v>responseParent.staticData.source[i].description</v>
      </c>
    </row>
    <row r="7" spans="1:4" outlineLevel="2" x14ac:dyDescent="0.25">
      <c r="A7" s="3" t="s">
        <v>147</v>
      </c>
      <c r="B7" s="3" t="s">
        <v>148</v>
      </c>
      <c r="C7" s="3" t="str">
        <f>C$3&amp;"."&amp;A7</f>
        <v>responseParent.staticData.accounts</v>
      </c>
    </row>
    <row r="8" spans="1:4" outlineLevel="3" x14ac:dyDescent="0.25">
      <c r="A8" s="3" t="s">
        <v>149</v>
      </c>
      <c r="B8" s="3" t="s">
        <v>121</v>
      </c>
      <c r="C8" s="3" t="str">
        <f>C$7&amp;"[i]."&amp;A8</f>
        <v>responseParent.staticData.accounts[i].id</v>
      </c>
    </row>
    <row r="9" spans="1:4" outlineLevel="3" x14ac:dyDescent="0.25">
      <c r="A9" s="3" t="s">
        <v>150</v>
      </c>
      <c r="B9" s="3" t="s">
        <v>126</v>
      </c>
      <c r="C9" s="3" t="str">
        <f>C$7&amp;"[i]."&amp;A9</f>
        <v>responseParent.staticData.accounts[i].description</v>
      </c>
    </row>
    <row r="10" spans="1:4" outlineLevel="1" x14ac:dyDescent="0.25">
      <c r="A10" s="3" t="s">
        <v>143</v>
      </c>
      <c r="B10" s="3" t="s">
        <v>145</v>
      </c>
      <c r="C10" s="3" t="str">
        <f>C$2&amp;"."&amp;A10</f>
        <v>responseParent.storedData</v>
      </c>
    </row>
    <row r="11" spans="1:4" outlineLevel="2" x14ac:dyDescent="0.25">
      <c r="A11" s="3" t="s">
        <v>151</v>
      </c>
      <c r="B11" s="3" t="s">
        <v>152</v>
      </c>
      <c r="C11" s="3" t="str">
        <f>C$10&amp;"."&amp;A11</f>
        <v>responseParent.storedData.header</v>
      </c>
    </row>
    <row r="12" spans="1:4" outlineLevel="3" x14ac:dyDescent="0.25">
      <c r="A12" s="3" t="s">
        <v>159</v>
      </c>
      <c r="B12" s="3" t="s">
        <v>126</v>
      </c>
      <c r="C12" s="3" t="str">
        <f>C$11&amp;"."&amp;A12</f>
        <v>responseParent.storedData.header.loanProductCode</v>
      </c>
      <c r="D12" s="3" t="s">
        <v>195</v>
      </c>
    </row>
    <row r="13" spans="1:4" outlineLevel="3" x14ac:dyDescent="0.25">
      <c r="A13" s="3" t="s">
        <v>161</v>
      </c>
      <c r="B13" s="3" t="s">
        <v>160</v>
      </c>
      <c r="C13" s="3" t="str">
        <f t="shared" ref="C13:C14" si="0">C$11&amp;"."&amp;A13</f>
        <v>responseParent.storedData.header.loanNumber</v>
      </c>
      <c r="D13" s="3" t="s">
        <v>194</v>
      </c>
    </row>
    <row r="14" spans="1:4" outlineLevel="3" x14ac:dyDescent="0.25">
      <c r="A14" s="3" t="s">
        <v>162</v>
      </c>
      <c r="B14" s="3" t="s">
        <v>126</v>
      </c>
      <c r="C14" s="3" t="str">
        <f t="shared" si="0"/>
        <v>responseParent.storedData.header.loanProductType</v>
      </c>
    </row>
    <row r="15" spans="1:4" outlineLevel="2" x14ac:dyDescent="0.25">
      <c r="A15" s="3" t="s">
        <v>153</v>
      </c>
      <c r="B15" s="3" t="s">
        <v>154</v>
      </c>
      <c r="C15" s="3" t="str">
        <f>C$10&amp;"."&amp;A15</f>
        <v>responseParent.storedData.auxiliary</v>
      </c>
    </row>
    <row r="16" spans="1:4" outlineLevel="3" x14ac:dyDescent="0.25">
      <c r="A16" s="3" t="s">
        <v>166</v>
      </c>
      <c r="B16" s="3" t="s">
        <v>126</v>
      </c>
      <c r="C16" s="3" t="str">
        <f>C$15&amp;"."&amp;A16</f>
        <v>responseParent.storedData.auxiliary.loanType</v>
      </c>
    </row>
    <row r="17" spans="1:3" outlineLevel="3" x14ac:dyDescent="0.25">
      <c r="A17" s="3" t="s">
        <v>167</v>
      </c>
      <c r="B17" s="3" t="s">
        <v>126</v>
      </c>
      <c r="C17" s="3" t="str">
        <f t="shared" ref="C17:C23" si="1">C$15&amp;"."&amp;A17</f>
        <v>responseParent.storedData.auxiliary.numPrest</v>
      </c>
    </row>
    <row r="18" spans="1:3" outlineLevel="3" x14ac:dyDescent="0.25">
      <c r="A18" s="3" t="s">
        <v>168</v>
      </c>
      <c r="B18" s="3" t="s">
        <v>163</v>
      </c>
      <c r="C18" s="3" t="str">
        <f t="shared" si="1"/>
        <v>responseParent.storedData.auxiliary.numVersPr</v>
      </c>
    </row>
    <row r="19" spans="1:3" outlineLevel="3" x14ac:dyDescent="0.25">
      <c r="A19" s="3" t="s">
        <v>169</v>
      </c>
      <c r="B19" s="3" t="s">
        <v>164</v>
      </c>
      <c r="C19" s="3" t="str">
        <f t="shared" si="1"/>
        <v>responseParent.storedData.auxiliary.timeStamp</v>
      </c>
    </row>
    <row r="20" spans="1:3" outlineLevel="3" x14ac:dyDescent="0.25">
      <c r="A20" s="3" t="s">
        <v>170</v>
      </c>
      <c r="B20" s="3" t="s">
        <v>163</v>
      </c>
      <c r="C20" s="3" t="str">
        <f t="shared" si="1"/>
        <v>responseParent.storedData.auxiliary.internalAccountBalance</v>
      </c>
    </row>
    <row r="21" spans="1:3" outlineLevel="3" x14ac:dyDescent="0.25">
      <c r="A21" s="3" t="s">
        <v>171</v>
      </c>
      <c r="B21" s="3" t="s">
        <v>164</v>
      </c>
      <c r="C21" s="3" t="str">
        <f t="shared" si="1"/>
        <v>responseParent.storedData.auxiliary.newDueDate</v>
      </c>
    </row>
    <row r="22" spans="1:3" outlineLevel="3" x14ac:dyDescent="0.25">
      <c r="A22" s="3" t="s">
        <v>172</v>
      </c>
      <c r="B22" s="3" t="s">
        <v>126</v>
      </c>
      <c r="C22" s="3" t="str">
        <f t="shared" si="1"/>
        <v>responseParent.storedData.auxiliary.amortizationAmountHigher90</v>
      </c>
    </row>
    <row r="23" spans="1:3" outlineLevel="3" x14ac:dyDescent="0.25">
      <c r="A23" s="3" t="s">
        <v>173</v>
      </c>
      <c r="B23" s="3" t="s">
        <v>165</v>
      </c>
      <c r="C23" s="3" t="str">
        <f t="shared" si="1"/>
        <v>responseParent.storedData.auxiliary.feedbackMessages</v>
      </c>
    </row>
    <row r="24" spans="1:3" outlineLevel="2" x14ac:dyDescent="0.25">
      <c r="A24" s="3" t="s">
        <v>155</v>
      </c>
      <c r="B24" s="3" t="s">
        <v>156</v>
      </c>
      <c r="C24" s="3" t="str">
        <f>C$10&amp;"."&amp;A24</f>
        <v>responseParent.storedData.details</v>
      </c>
    </row>
    <row r="25" spans="1:3" outlineLevel="3" x14ac:dyDescent="0.25">
      <c r="A25" s="3" t="s">
        <v>174</v>
      </c>
      <c r="B25" s="3" t="s">
        <v>163</v>
      </c>
      <c r="C25" s="3" t="str">
        <f>C$24&amp;"."&amp;A25</f>
        <v>responseParent.storedData.details.currentOutstandingBalance</v>
      </c>
    </row>
    <row r="26" spans="1:3" outlineLevel="3" x14ac:dyDescent="0.25">
      <c r="A26" s="3" t="s">
        <v>175</v>
      </c>
      <c r="B26" s="3" t="s">
        <v>163</v>
      </c>
      <c r="C26" s="3" t="str">
        <f t="shared" ref="C26:C37" si="2">C$24&amp;"."&amp;A26</f>
        <v>responseParent.storedData.details.monthlyRepayment</v>
      </c>
    </row>
    <row r="27" spans="1:3" outlineLevel="3" x14ac:dyDescent="0.25">
      <c r="A27" s="3" t="s">
        <v>176</v>
      </c>
      <c r="B27" s="3" t="s">
        <v>163</v>
      </c>
      <c r="C27" s="3" t="str">
        <f t="shared" si="2"/>
        <v>responseParent.storedData.details.arrears</v>
      </c>
    </row>
    <row r="28" spans="1:3" outlineLevel="3" x14ac:dyDescent="0.25">
      <c r="A28" s="3" t="s">
        <v>177</v>
      </c>
      <c r="B28" s="3" t="s">
        <v>164</v>
      </c>
      <c r="C28" s="3" t="str">
        <f t="shared" si="2"/>
        <v>responseParent.storedData.details.activeESQDate</v>
      </c>
    </row>
    <row r="29" spans="1:3" outlineLevel="3" x14ac:dyDescent="0.25">
      <c r="A29" s="3" t="s">
        <v>178</v>
      </c>
      <c r="B29" s="3" t="s">
        <v>163</v>
      </c>
      <c r="C29" s="3" t="str">
        <f t="shared" si="2"/>
        <v>responseParent.storedData.details.activeESQAmount</v>
      </c>
    </row>
    <row r="30" spans="1:3" outlineLevel="3" x14ac:dyDescent="0.25">
      <c r="A30" s="3" t="s">
        <v>179</v>
      </c>
      <c r="B30" s="3" t="s">
        <v>126</v>
      </c>
      <c r="C30" s="3" t="str">
        <f t="shared" si="2"/>
        <v>responseParent.storedData.details.collateralSecurity</v>
      </c>
    </row>
    <row r="31" spans="1:3" outlineLevel="3" x14ac:dyDescent="0.25">
      <c r="A31" s="3" t="s">
        <v>180</v>
      </c>
      <c r="B31" s="3" t="s">
        <v>126</v>
      </c>
      <c r="C31" s="3" t="str">
        <f t="shared" si="2"/>
        <v>responseParent.storedData.details.amortizationType</v>
      </c>
    </row>
    <row r="32" spans="1:3" outlineLevel="3" x14ac:dyDescent="0.25">
      <c r="A32" s="3" t="s">
        <v>181</v>
      </c>
      <c r="B32" s="3" t="s">
        <v>163</v>
      </c>
      <c r="C32" s="3" t="str">
        <f t="shared" si="2"/>
        <v>responseParent.storedData.details.paymentAmount</v>
      </c>
    </row>
    <row r="33" spans="1:3" outlineLevel="3" x14ac:dyDescent="0.25">
      <c r="A33" s="3" t="s">
        <v>182</v>
      </c>
      <c r="B33" s="3" t="s">
        <v>164</v>
      </c>
      <c r="C33" s="3" t="str">
        <f t="shared" si="2"/>
        <v>responseParent.storedData.details.effectiveDate</v>
      </c>
    </row>
    <row r="34" spans="1:3" outlineLevel="3" x14ac:dyDescent="0.25">
      <c r="A34" s="3" t="s">
        <v>146</v>
      </c>
      <c r="B34" s="3" t="s">
        <v>160</v>
      </c>
      <c r="C34" s="3" t="str">
        <f t="shared" si="2"/>
        <v>responseParent.storedData.details.source</v>
      </c>
    </row>
    <row r="35" spans="1:3" outlineLevel="3" x14ac:dyDescent="0.25">
      <c r="A35" s="3" t="s">
        <v>183</v>
      </c>
      <c r="B35" s="3" t="s">
        <v>126</v>
      </c>
      <c r="C35" s="3" t="str">
        <f t="shared" si="2"/>
        <v>responseParent.storedData.details.variationType</v>
      </c>
    </row>
    <row r="36" spans="1:3" outlineLevel="3" x14ac:dyDescent="0.25">
      <c r="A36" s="3" t="s">
        <v>147</v>
      </c>
      <c r="B36" s="3" t="s">
        <v>160</v>
      </c>
      <c r="C36" s="3" t="str">
        <f t="shared" si="2"/>
        <v>responseParent.storedData.details.accounts</v>
      </c>
    </row>
    <row r="37" spans="1:3" outlineLevel="3" x14ac:dyDescent="0.25">
      <c r="A37" s="3" t="s">
        <v>184</v>
      </c>
      <c r="B37" s="3" t="s">
        <v>126</v>
      </c>
      <c r="C37" s="3" t="str">
        <f t="shared" si="2"/>
        <v>responseParent.storedData.details.useForNextRepayment</v>
      </c>
    </row>
    <row r="38" spans="1:3" outlineLevel="2" x14ac:dyDescent="0.25">
      <c r="A38" s="3" t="s">
        <v>157</v>
      </c>
      <c r="B38" s="3" t="s">
        <v>158</v>
      </c>
      <c r="C38" s="3" t="str">
        <f>C$10&amp;"."&amp;A38</f>
        <v>responseParent.storedData.illustration</v>
      </c>
    </row>
    <row r="39" spans="1:3" outlineLevel="3" x14ac:dyDescent="0.25">
      <c r="A39" s="3" t="s">
        <v>185</v>
      </c>
      <c r="B39" s="3" t="s">
        <v>163</v>
      </c>
      <c r="C39" s="3" t="str">
        <f>C$38&amp;"."&amp;A39</f>
        <v>responseParent.storedData.illustration.fee</v>
      </c>
    </row>
    <row r="40" spans="1:3" outlineLevel="3" x14ac:dyDescent="0.25">
      <c r="A40" s="3" t="s">
        <v>186</v>
      </c>
      <c r="B40" s="3" t="s">
        <v>163</v>
      </c>
      <c r="C40" s="3" t="str">
        <f t="shared" ref="C40:C45" si="3">C$38&amp;"."&amp;A40</f>
        <v>responseParent.storedData.illustration.newMonthlyPaymentAmount</v>
      </c>
    </row>
    <row r="41" spans="1:3" outlineLevel="3" x14ac:dyDescent="0.25">
      <c r="A41" s="3" t="s">
        <v>187</v>
      </c>
      <c r="B41" s="3" t="s">
        <v>163</v>
      </c>
      <c r="C41" s="3" t="str">
        <f t="shared" si="3"/>
        <v>responseParent.storedData.illustration.interestSavedDueToAdditionalPayment</v>
      </c>
    </row>
    <row r="42" spans="1:3" outlineLevel="3" x14ac:dyDescent="0.25">
      <c r="A42" s="3" t="s">
        <v>188</v>
      </c>
      <c r="B42" s="3" t="s">
        <v>160</v>
      </c>
      <c r="C42" s="3" t="str">
        <f t="shared" si="3"/>
        <v>responseParent.storedData.illustration.termReducedBy</v>
      </c>
    </row>
    <row r="43" spans="1:3" outlineLevel="3" x14ac:dyDescent="0.25">
      <c r="A43" s="3" t="s">
        <v>189</v>
      </c>
      <c r="B43" s="3" t="s">
        <v>163</v>
      </c>
      <c r="C43" s="3" t="str">
        <f t="shared" si="3"/>
        <v>responseParent.storedData.illustration.newOutstandingBalance</v>
      </c>
    </row>
    <row r="44" spans="1:3" outlineLevel="3" x14ac:dyDescent="0.25">
      <c r="A44" s="3" t="s">
        <v>190</v>
      </c>
      <c r="B44" s="3" t="s">
        <v>160</v>
      </c>
      <c r="C44" s="3" t="str">
        <f t="shared" si="3"/>
        <v>responseParent.storedData.illustration.newTermRemaining</v>
      </c>
    </row>
    <row r="45" spans="1:3" outlineLevel="3" x14ac:dyDescent="0.25">
      <c r="A45" s="3" t="s">
        <v>191</v>
      </c>
      <c r="B45" s="3" t="s">
        <v>163</v>
      </c>
      <c r="C45" s="3" t="str">
        <f t="shared" si="3"/>
        <v>responseParent.storedData.illustration.updatedArrearsBalance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3" sqref="H3:H17"/>
    </sheetView>
  </sheetViews>
  <sheetFormatPr defaultRowHeight="15" x14ac:dyDescent="0.25"/>
  <cols>
    <col min="1" max="2" width="11.42578125" style="5" bestFit="1" customWidth="1"/>
    <col min="3" max="3" width="34.85546875" style="5" bestFit="1" customWidth="1"/>
    <col min="4" max="4" width="12.140625" style="5" bestFit="1" customWidth="1"/>
    <col min="5" max="5" width="11.42578125" style="5" bestFit="1" customWidth="1"/>
    <col min="6" max="6" width="33" style="5" bestFit="1" customWidth="1"/>
    <col min="7" max="7" width="25.28515625" style="5" bestFit="1" customWidth="1"/>
    <col min="8" max="8" width="44.7109375" style="5" bestFit="1" customWidth="1"/>
    <col min="9" max="16384" width="9.140625" style="5"/>
  </cols>
  <sheetData>
    <row r="1" spans="1:8" x14ac:dyDescent="0.25">
      <c r="A1" s="18" t="s">
        <v>204</v>
      </c>
      <c r="B1" s="17" t="s">
        <v>205</v>
      </c>
      <c r="C1" s="4" t="s">
        <v>196</v>
      </c>
      <c r="D1" s="4" t="s">
        <v>197</v>
      </c>
      <c r="E1" s="4" t="s">
        <v>199</v>
      </c>
      <c r="F1" s="4" t="s">
        <v>202</v>
      </c>
      <c r="G1" s="4" t="s">
        <v>1</v>
      </c>
      <c r="H1" s="4" t="s">
        <v>203</v>
      </c>
    </row>
    <row r="2" spans="1:8" x14ac:dyDescent="0.25">
      <c r="C2" s="17" t="s">
        <v>207</v>
      </c>
      <c r="D2" s="17" t="s">
        <v>198</v>
      </c>
      <c r="E2" s="6" t="str">
        <f>IF(D2="N/A","String",IF(LEFT(D2,6)="Number",IF(IFERROR(VALUE(MID(D2,FIND("(",D2)+1,FIND(")",D2)-(FIND("(",D2)+1))),1)&gt;LEN(Params!$B$5),Params!$A$6,IF(IFERROR(VALUE(MID(D2,FIND("(",D2)+1,FIND(")",D2)-(FIND("(",D2)+1))),1)&gt;LEN(Params!$B$4),Params!$A$5,IF(IFERROR(VALUE(MID(D2,FIND("(",D2)+1,FIND(")",D2)-(FIND("(",D2)+1))),1)&gt;LEN(Params!$B$3),Params!$A$4,Params!$A$3))),IF(D2="Decimal","double",LEFT(D2,6))))</f>
        <v>String</v>
      </c>
      <c r="F2" s="6" t="str">
        <f>LOWER(RIGHT(C2,LEN(C2)-8))</f>
        <v>retorno</v>
      </c>
      <c r="G2" s="6" t="str">
        <f>"private "&amp;E2&amp;" "&amp;F2&amp;";"</f>
        <v>private String retorno;</v>
      </c>
      <c r="H2" s="6" t="str">
        <f t="shared" ref="H2:H19" si="0">$B$1&amp;".set"&amp;UPPER(LEFT(F2,1))&amp;LOWER(RIGHT(F2,LEN(F2)-1))&amp;"("&amp;IF(E2="String","""""",IF(OR(E2="byte",E2="short"),"("&amp;E2&amp;") ","")&amp;0)&amp;");"</f>
        <v>ret.setRetorno("");</v>
      </c>
    </row>
    <row r="3" spans="1:8" x14ac:dyDescent="0.25">
      <c r="C3" s="17" t="s">
        <v>208</v>
      </c>
      <c r="D3" s="17" t="s">
        <v>223</v>
      </c>
      <c r="E3" s="6" t="str">
        <f>IF(D3="N/A","String",IF(LEFT(D3,6)="Number",IF(IFERROR(VALUE(MID(D3,FIND("(",D3)+1,FIND(")",D3)-(FIND("(",D3)+1))),1)&gt;LEN(Params!$B$5),Params!$A$6,IF(IFERROR(VALUE(MID(D3,FIND("(",D3)+1,FIND(")",D3)-(FIND("(",D3)+1))),1)&gt;LEN(Params!$B$4),Params!$A$5,IF(IFERROR(VALUE(MID(D3,FIND("(",D3)+1,FIND(")",D3)-(FIND("(",D3)+1))),1)&gt;LEN(Params!$B$3),Params!$A$4,Params!$A$3))),IF(D3="Decimal","double",LEFT(D3,6))))</f>
        <v>String</v>
      </c>
      <c r="F3" s="6" t="str">
        <f t="shared" ref="F3:F26" si="1">LOWER(RIGHT(C3,LEN(C3)-8))</f>
        <v>timestamp</v>
      </c>
      <c r="G3" s="6" t="str">
        <f t="shared" ref="G3:G26" si="2">"private "&amp;E3&amp;" "&amp;F3&amp;";"</f>
        <v>private String timestamp;</v>
      </c>
      <c r="H3" s="6" t="str">
        <f t="shared" si="0"/>
        <v>ret.setTimestamp("");</v>
      </c>
    </row>
    <row r="4" spans="1:8" x14ac:dyDescent="0.25">
      <c r="C4" s="17" t="s">
        <v>209</v>
      </c>
      <c r="D4" s="17" t="s">
        <v>223</v>
      </c>
      <c r="E4" s="6" t="str">
        <f>IF(D4="N/A","String",IF(LEFT(D4,6)="Number",IF(IFERROR(VALUE(MID(D4,FIND("(",D4)+1,FIND(")",D4)-(FIND("(",D4)+1))),1)&gt;LEN(Params!$B$5),Params!$A$6,IF(IFERROR(VALUE(MID(D4,FIND("(",D4)+1,FIND(")",D4)-(FIND("(",D4)+1))),1)&gt;LEN(Params!$B$4),Params!$A$5,IF(IFERROR(VALUE(MID(D4,FIND("(",D4)+1,FIND(")",D4)-(FIND("(",D4)+1))),1)&gt;LEN(Params!$B$3),Params!$A$4,Params!$A$3))),IF(D4="Decimal","double",LEFT(D4,6))))</f>
        <v>String</v>
      </c>
      <c r="F4" s="6" t="str">
        <f t="shared" si="1"/>
        <v>tipopeord</v>
      </c>
      <c r="G4" s="6" t="str">
        <f t="shared" si="2"/>
        <v>private String tipopeord;</v>
      </c>
      <c r="H4" s="6" t="str">
        <f t="shared" si="0"/>
        <v>ret.setTipopeord("");</v>
      </c>
    </row>
    <row r="5" spans="1:8" x14ac:dyDescent="0.25">
      <c r="C5" s="17" t="s">
        <v>210</v>
      </c>
      <c r="D5" s="17" t="s">
        <v>206</v>
      </c>
      <c r="E5" s="6" t="str">
        <f>IF(D5="N/A","String",IF(LEFT(D5,6)="Number",IF(IFERROR(VALUE(MID(D5,FIND("(",D5)+1,FIND(")",D5)-(FIND("(",D5)+1))),1)&gt;LEN(Params!$B$5),Params!$A$6,IF(IFERROR(VALUE(MID(D5,FIND("(",D5)+1,FIND(")",D5)-(FIND("(",D5)+1))),1)&gt;LEN(Params!$B$4),Params!$A$5,IF(IFERROR(VALUE(MID(D5,FIND("(",D5)+1,FIND(")",D5)-(FIND("(",D5)+1))),1)&gt;LEN(Params!$B$3),Params!$A$4,Params!$A$3))),IF(D5="Decimal","double",LEFT(D5,6))))</f>
        <v>double</v>
      </c>
      <c r="F5" s="6" t="str">
        <f t="shared" si="1"/>
        <v>impoperac</v>
      </c>
      <c r="G5" s="6" t="str">
        <f t="shared" si="2"/>
        <v>private double impoperac;</v>
      </c>
      <c r="H5" s="6" t="str">
        <f t="shared" si="0"/>
        <v>ret.setImpoperac(0);</v>
      </c>
    </row>
    <row r="6" spans="1:8" x14ac:dyDescent="0.25">
      <c r="C6" s="17" t="s">
        <v>211</v>
      </c>
      <c r="D6" s="17" t="s">
        <v>164</v>
      </c>
      <c r="E6" s="6" t="str">
        <f>IF(D6="N/A","String",IF(LEFT(D6,6)="Number",IF(IFERROR(VALUE(MID(D6,FIND("(",D6)+1,FIND(")",D6)-(FIND("(",D6)+1))),1)&gt;LEN(Params!$B$5),Params!$A$6,IF(IFERROR(VALUE(MID(D6,FIND("(",D6)+1,FIND(")",D6)-(FIND("(",D6)+1))),1)&gt;LEN(Params!$B$4),Params!$A$5,IF(IFERROR(VALUE(MID(D6,FIND("(",D6)+1,FIND(")",D6)-(FIND("(",D6)+1))),1)&gt;LEN(Params!$B$3),Params!$A$4,Params!$A$3))),IF(D6="Decimal","double",LEFT(D6,6))))</f>
        <v>Date</v>
      </c>
      <c r="F6" s="6" t="str">
        <f t="shared" si="1"/>
        <v>fecvtoper</v>
      </c>
      <c r="G6" s="6" t="str">
        <f t="shared" si="2"/>
        <v>private Date fecvtoper;</v>
      </c>
      <c r="H6" s="6" t="str">
        <f t="shared" si="0"/>
        <v>ret.setFecvtoper(0);</v>
      </c>
    </row>
    <row r="7" spans="1:8" x14ac:dyDescent="0.25">
      <c r="C7" s="17" t="s">
        <v>212</v>
      </c>
      <c r="D7" s="17" t="s">
        <v>223</v>
      </c>
      <c r="E7" s="6" t="str">
        <f>IF(D7="N/A","String",IF(LEFT(D7,6)="Number",IF(IFERROR(VALUE(MID(D7,FIND("(",D7)+1,FIND(")",D7)-(FIND("(",D7)+1))),1)&gt;LEN(Params!$B$5),Params!$A$6,IF(IFERROR(VALUE(MID(D7,FIND("(",D7)+1,FIND(")",D7)-(FIND("(",D7)+1))),1)&gt;LEN(Params!$B$4),Params!$A$5,IF(IFERROR(VALUE(MID(D7,FIND("(",D7)+1,FIND(")",D7)-(FIND("(",D7)+1))),1)&gt;LEN(Params!$B$3),Params!$A$4,Params!$A$3))),IF(D7="Decimal","double",LEFT(D7,6))))</f>
        <v>String</v>
      </c>
      <c r="F7" s="6" t="str">
        <f t="shared" si="1"/>
        <v>tipforpag</v>
      </c>
      <c r="G7" s="6" t="str">
        <f t="shared" si="2"/>
        <v>private String tipforpag;</v>
      </c>
      <c r="H7" s="6" t="str">
        <f t="shared" si="0"/>
        <v>ret.setTipforpag("");</v>
      </c>
    </row>
    <row r="8" spans="1:8" x14ac:dyDescent="0.25">
      <c r="C8" s="17" t="s">
        <v>213</v>
      </c>
      <c r="D8" s="17" t="s">
        <v>206</v>
      </c>
      <c r="E8" s="6" t="str">
        <f>IF(D8="N/A","String",IF(LEFT(D8,6)="Number",IF(IFERROR(VALUE(MID(D8,FIND("(",D8)+1,FIND(")",D8)-(FIND("(",D8)+1))),1)&gt;LEN(Params!$B$5),Params!$A$6,IF(IFERROR(VALUE(MID(D8,FIND("(",D8)+1,FIND(")",D8)-(FIND("(",D8)+1))),1)&gt;LEN(Params!$B$4),Params!$A$5,IF(IFERROR(VALUE(MID(D8,FIND("(",D8)+1,FIND(")",D8)-(FIND("(",D8)+1))),1)&gt;LEN(Params!$B$3),Params!$A$4,Params!$A$3))),IF(D8="Decimal","double",LEFT(D8,6))))</f>
        <v>double</v>
      </c>
      <c r="F8" s="6" t="str">
        <f t="shared" si="1"/>
        <v>impctaint</v>
      </c>
      <c r="G8" s="6" t="str">
        <f t="shared" si="2"/>
        <v>private double impctaint;</v>
      </c>
      <c r="H8" s="6" t="str">
        <f t="shared" si="0"/>
        <v>ret.setImpctaint(0);</v>
      </c>
    </row>
    <row r="9" spans="1:8" x14ac:dyDescent="0.25">
      <c r="C9" s="17" t="s">
        <v>214</v>
      </c>
      <c r="D9" s="17" t="s">
        <v>198</v>
      </c>
      <c r="E9" s="6" t="str">
        <f>IF(D9="N/A","String",IF(LEFT(D9,6)="Number",IF(IFERROR(VALUE(MID(D9,FIND("(",D9)+1,FIND(")",D9)-(FIND("(",D9)+1))),1)&gt;LEN(Params!$B$5),Params!$A$6,IF(IFERROR(VALUE(MID(D9,FIND("(",D9)+1,FIND(")",D9)-(FIND("(",D9)+1))),1)&gt;LEN(Params!$B$4),Params!$A$5,IF(IFERROR(VALUE(MID(D9,FIND("(",D9)+1,FIND(")",D9)-(FIND("(",D9)+1))),1)&gt;LEN(Params!$B$3),Params!$A$4,Params!$A$3))),IF(D9="Decimal","double",LEFT(D9,6))))</f>
        <v>String</v>
      </c>
      <c r="F9" s="6" t="str">
        <f t="shared" si="1"/>
        <v>indforpag</v>
      </c>
      <c r="G9" s="6" t="str">
        <f t="shared" si="2"/>
        <v>private String indforpag;</v>
      </c>
      <c r="H9" s="6" t="str">
        <f t="shared" si="0"/>
        <v>ret.setIndforpag("");</v>
      </c>
    </row>
    <row r="10" spans="1:8" x14ac:dyDescent="0.25">
      <c r="C10" s="17" t="s">
        <v>215</v>
      </c>
      <c r="D10" s="17" t="s">
        <v>223</v>
      </c>
      <c r="E10" s="6" t="str">
        <f>IF(D10="N/A","String",IF(LEFT(D10,6)="Number",IF(IFERROR(VALUE(MID(D10,FIND("(",D10)+1,FIND(")",D10)-(FIND("(",D10)+1))),1)&gt;LEN(Params!$B$5),Params!$A$6,IF(IFERROR(VALUE(MID(D10,FIND("(",D10)+1,FIND(")",D10)-(FIND("(",D10)+1))),1)&gt;LEN(Params!$B$4),Params!$A$5,IF(IFERROR(VALUE(MID(D10,FIND("(",D10)+1,FIND(")",D10)-(FIND("(",D10)+1))),1)&gt;LEN(Params!$B$3),Params!$A$4,Params!$A$3))),IF(D10="Decimal","double",LEFT(D10,6))))</f>
        <v>String</v>
      </c>
      <c r="F10" s="6" t="str">
        <f t="shared" si="1"/>
        <v>tipvariac</v>
      </c>
      <c r="G10" s="6" t="str">
        <f t="shared" si="2"/>
        <v>private String tipvariac;</v>
      </c>
      <c r="H10" s="6" t="str">
        <f t="shared" si="0"/>
        <v>ret.setTipvariac("");</v>
      </c>
    </row>
    <row r="11" spans="1:8" x14ac:dyDescent="0.25">
      <c r="C11" s="17" t="s">
        <v>216</v>
      </c>
      <c r="D11" s="17" t="s">
        <v>206</v>
      </c>
      <c r="E11" s="6" t="str">
        <f>IF(D11="N/A","String",IF(LEFT(D11,6)="Number",IF(IFERROR(VALUE(MID(D11,FIND("(",D11)+1,FIND(")",D11)-(FIND("(",D11)+1))),1)&gt;LEN(Params!$B$5),Params!$A$6,IF(IFERROR(VALUE(MID(D11,FIND("(",D11)+1,FIND(")",D11)-(FIND("(",D11)+1))),1)&gt;LEN(Params!$B$4),Params!$A$5,IF(IFERROR(VALUE(MID(D11,FIND("(",D11)+1,FIND(")",D11)-(FIND("(",D11)+1))),1)&gt;LEN(Params!$B$3),Params!$A$4,Params!$A$3))),IF(D11="Decimal","double",LEFT(D11,6))))</f>
        <v>double</v>
      </c>
      <c r="F11" s="6" t="str">
        <f t="shared" si="1"/>
        <v>impnuecuot</v>
      </c>
      <c r="G11" s="6" t="str">
        <f t="shared" si="2"/>
        <v>private double impnuecuot;</v>
      </c>
      <c r="H11" s="6" t="str">
        <f t="shared" si="0"/>
        <v>ret.setImpnuecuot(0);</v>
      </c>
    </row>
    <row r="12" spans="1:8" x14ac:dyDescent="0.25">
      <c r="C12" s="17" t="s">
        <v>217</v>
      </c>
      <c r="D12" s="17" t="s">
        <v>164</v>
      </c>
      <c r="E12" s="6" t="str">
        <f>IF(D12="N/A","String",IF(LEFT(D12,6)="Number",IF(IFERROR(VALUE(MID(D12,FIND("(",D12)+1,FIND(")",D12)-(FIND("(",D12)+1))),1)&gt;LEN(Params!$B$5),Params!$A$6,IF(IFERROR(VALUE(MID(D12,FIND("(",D12)+1,FIND(")",D12)-(FIND("(",D12)+1))),1)&gt;LEN(Params!$B$4),Params!$A$5,IF(IFERROR(VALUE(MID(D12,FIND("(",D12)+1,FIND(")",D12)-(FIND("(",D12)+1))),1)&gt;LEN(Params!$B$3),Params!$A$4,Params!$A$3))),IF(D12="Decimal","double",LEFT(D12,6))))</f>
        <v>Date</v>
      </c>
      <c r="F12" s="6" t="str">
        <f t="shared" si="1"/>
        <v>fecnuevto</v>
      </c>
      <c r="G12" s="6" t="str">
        <f t="shared" si="2"/>
        <v>private Date fecnuevto;</v>
      </c>
      <c r="H12" s="6" t="str">
        <f t="shared" si="0"/>
        <v>ret.setFecnuevto(0);</v>
      </c>
    </row>
    <row r="13" spans="1:8" x14ac:dyDescent="0.25">
      <c r="C13" s="17" t="s">
        <v>218</v>
      </c>
      <c r="D13" s="17" t="s">
        <v>198</v>
      </c>
      <c r="E13" s="6" t="str">
        <f>IF(D13="N/A","String",IF(LEFT(D13,6)="Number",IF(IFERROR(VALUE(MID(D13,FIND("(",D13)+1,FIND(")",D13)-(FIND("(",D13)+1))),1)&gt;LEN(Params!$B$5),Params!$A$6,IF(IFERROR(VALUE(MID(D13,FIND("(",D13)+1,FIND(")",D13)-(FIND("(",D13)+1))),1)&gt;LEN(Params!$B$4),Params!$A$5,IF(IFERROR(VALUE(MID(D13,FIND("(",D13)+1,FIND(")",D13)-(FIND("(",D13)+1))),1)&gt;LEN(Params!$B$3),Params!$A$4,Params!$A$3))),IF(D13="Decimal","double",LEFT(D13,6))))</f>
        <v>String</v>
      </c>
      <c r="F13" s="6" t="str">
        <f t="shared" si="1"/>
        <v>codcta</v>
      </c>
      <c r="G13" s="6" t="str">
        <f t="shared" si="2"/>
        <v>private String codcta;</v>
      </c>
      <c r="H13" s="6" t="str">
        <f t="shared" si="0"/>
        <v>ret.setCodcta("");</v>
      </c>
    </row>
    <row r="14" spans="1:8" x14ac:dyDescent="0.25">
      <c r="C14" s="17" t="s">
        <v>219</v>
      </c>
      <c r="D14" s="17" t="s">
        <v>198</v>
      </c>
      <c r="E14" s="6" t="str">
        <f>IF(D14="N/A","String",IF(LEFT(D14,6)="Number",IF(IFERROR(VALUE(MID(D14,FIND("(",D14)+1,FIND(")",D14)-(FIND("(",D14)+1))),1)&gt;LEN(Params!$B$5),Params!$A$6,IF(IFERROR(VALUE(MID(D14,FIND("(",D14)+1,FIND(")",D14)-(FIND("(",D14)+1))),1)&gt;LEN(Params!$B$4),Params!$A$5,IF(IFERROR(VALUE(MID(D14,FIND("(",D14)+1,FIND(")",D14)-(FIND("(",D14)+1))),1)&gt;LEN(Params!$B$3),Params!$A$4,Params!$A$3))),IF(D14="Decimal","double",LEFT(D14,6))))</f>
        <v>String</v>
      </c>
      <c r="F14" s="6" t="str">
        <f t="shared" si="1"/>
        <v>codopera</v>
      </c>
      <c r="G14" s="6" t="str">
        <f t="shared" si="2"/>
        <v>private String codopera;</v>
      </c>
      <c r="H14" s="6" t="str">
        <f t="shared" si="0"/>
        <v>ret.setCodopera("");</v>
      </c>
    </row>
    <row r="15" spans="1:8" x14ac:dyDescent="0.25">
      <c r="C15" s="17" t="s">
        <v>220</v>
      </c>
      <c r="D15" s="17" t="s">
        <v>198</v>
      </c>
      <c r="E15" s="6" t="str">
        <f>IF(D15="N/A","String",IF(LEFT(D15,6)="Number",IF(IFERROR(VALUE(MID(D15,FIND("(",D15)+1,FIND(")",D15)-(FIND("(",D15)+1))),1)&gt;LEN(Params!$B$5),Params!$A$6,IF(IFERROR(VALUE(MID(D15,FIND("(",D15)+1,FIND(")",D15)-(FIND("(",D15)+1))),1)&gt;LEN(Params!$B$4),Params!$A$5,IF(IFERROR(VALUE(MID(D15,FIND("(",D15)+1,FIND(")",D15)-(FIND("(",D15)+1))),1)&gt;LEN(Params!$B$3),Params!$A$4,Params!$A$3))),IF(D15="Decimal","double",LEFT(D15,6))))</f>
        <v>String</v>
      </c>
      <c r="F15" s="6" t="str">
        <f t="shared" si="1"/>
        <v>datosoper</v>
      </c>
      <c r="G15" s="6" t="str">
        <f t="shared" si="2"/>
        <v>private String datosoper;</v>
      </c>
      <c r="H15" s="6" t="str">
        <f t="shared" si="0"/>
        <v>ret.setDatosoper("");</v>
      </c>
    </row>
    <row r="16" spans="1:8" x14ac:dyDescent="0.25">
      <c r="C16" s="17" t="s">
        <v>221</v>
      </c>
      <c r="D16" s="17" t="s">
        <v>198</v>
      </c>
      <c r="E16" s="6" t="str">
        <f>IF(D16="N/A","String",IF(LEFT(D16,6)="Number",IF(IFERROR(VALUE(MID(D16,FIND("(",D16)+1,FIND(")",D16)-(FIND("(",D16)+1))),1)&gt;LEN(Params!$B$5),Params!$A$6,IF(IFERROR(VALUE(MID(D16,FIND("(",D16)+1,FIND(")",D16)-(FIND("(",D16)+1))),1)&gt;LEN(Params!$B$4),Params!$A$5,IF(IFERROR(VALUE(MID(D16,FIND("(",D16)+1,FIND(")",D16)-(FIND("(",D16)+1))),1)&gt;LEN(Params!$B$3),Params!$A$4,Params!$A$3))),IF(D16="Decimal","double",LEFT(D16,6))))</f>
        <v>String</v>
      </c>
      <c r="F16" s="6" t="str">
        <f t="shared" si="1"/>
        <v>indley41</v>
      </c>
      <c r="G16" s="6" t="str">
        <f t="shared" si="2"/>
        <v>private String indley41;</v>
      </c>
      <c r="H16" s="6" t="str">
        <f t="shared" si="0"/>
        <v>ret.setIndley41("");</v>
      </c>
    </row>
    <row r="17" spans="3:8" x14ac:dyDescent="0.25">
      <c r="C17" s="17" t="s">
        <v>222</v>
      </c>
      <c r="D17" s="17" t="s">
        <v>198</v>
      </c>
      <c r="E17" s="6" t="str">
        <f>IF(D17="N/A","String",IF(LEFT(D17,6)="Number",IF(IFERROR(VALUE(MID(D17,FIND("(",D17)+1,FIND(")",D17)-(FIND("(",D17)+1))),1)&gt;LEN(Params!$B$5),Params!$A$6,IF(IFERROR(VALUE(MID(D17,FIND("(",D17)+1,FIND(")",D17)-(FIND("(",D17)+1))),1)&gt;LEN(Params!$B$4),Params!$A$5,IF(IFERROR(VALUE(MID(D17,FIND("(",D17)+1,FIND(")",D17)-(FIND("(",D17)+1))),1)&gt;LEN(Params!$B$3),Params!$A$4,Params!$A$3))),IF(D17="Decimal","double",LEFT(D17,6))))</f>
        <v>String</v>
      </c>
      <c r="F17" s="6" t="str">
        <f t="shared" si="1"/>
        <v>indhabilita</v>
      </c>
      <c r="G17" s="6" t="str">
        <f t="shared" si="2"/>
        <v>private String indhabilita;</v>
      </c>
      <c r="H17" s="6" t="str">
        <f t="shared" si="0"/>
        <v>ret.setIndhabilita("");</v>
      </c>
    </row>
    <row r="18" spans="3:8" x14ac:dyDescent="0.25">
      <c r="C18" s="17"/>
      <c r="D18" s="17"/>
      <c r="E18" s="6" t="str">
        <f>IF(D18="N/A","String",IF(LEFT(D18,6)="Number",IF(IFERROR(VALUE(MID(D18,FIND("(",D18)+1,FIND(")",D18)-(FIND("(",D18)+1))),1)&gt;LEN(Params!$B$5),Params!$A$6,IF(IFERROR(VALUE(MID(D18,FIND("(",D18)+1,FIND(")",D18)-(FIND("(",D18)+1))),1)&gt;LEN(Params!$B$4),Params!$A$5,IF(IFERROR(VALUE(MID(D18,FIND("(",D18)+1,FIND(")",D18)-(FIND("(",D18)+1))),1)&gt;LEN(Params!$B$3),Params!$A$4,Params!$A$3))),IF(D18="Decimal","double",LEFT(D18,6))))</f>
        <v/>
      </c>
      <c r="F18" s="6" t="e">
        <f t="shared" si="1"/>
        <v>#VALUE!</v>
      </c>
      <c r="G18" s="6" t="e">
        <f t="shared" si="2"/>
        <v>#VALUE!</v>
      </c>
      <c r="H18" s="6" t="e">
        <f t="shared" si="0"/>
        <v>#VALUE!</v>
      </c>
    </row>
    <row r="19" spans="3:8" x14ac:dyDescent="0.25">
      <c r="C19" s="17"/>
      <c r="D19" s="17"/>
      <c r="E19" s="6" t="str">
        <f>IF(D19="N/A","String",IF(LEFT(D19,6)="Number",IF(IFERROR(VALUE(MID(D19,FIND("(",D19)+1,FIND(")",D19)-(FIND("(",D19)+1))),1)&gt;LEN(Params!$B$5),Params!$A$6,IF(IFERROR(VALUE(MID(D19,FIND("(",D19)+1,FIND(")",D19)-(FIND("(",D19)+1))),1)&gt;LEN(Params!$B$4),Params!$A$5,IF(IFERROR(VALUE(MID(D19,FIND("(",D19)+1,FIND(")",D19)-(FIND("(",D19)+1))),1)&gt;LEN(Params!$B$3),Params!$A$4,Params!$A$3))),IF(D19="Decimal","double",LEFT(D19,6))))</f>
        <v/>
      </c>
      <c r="F19" s="6" t="e">
        <f t="shared" si="1"/>
        <v>#VALUE!</v>
      </c>
      <c r="G19" s="6" t="e">
        <f t="shared" si="2"/>
        <v>#VALUE!</v>
      </c>
      <c r="H19" s="6" t="e">
        <f t="shared" si="0"/>
        <v>#VALUE!</v>
      </c>
    </row>
    <row r="20" spans="3:8" x14ac:dyDescent="0.25">
      <c r="C20" s="17"/>
      <c r="D20" s="17"/>
      <c r="E20" s="6" t="str">
        <f>IF(D20="N/A","String",IF(LEFT(D20,6)="Number",IF(IFERROR(VALUE(MID(D20,FIND("(",D20)+1,FIND(")",D20)-(FIND("(",D20)+1))),1)&gt;LEN(Params!$B$5),Params!$A$6,IF(IFERROR(VALUE(MID(D20,FIND("(",D20)+1,FIND(")",D20)-(FIND("(",D20)+1))),1)&gt;LEN(Params!$B$4),Params!$A$5,IF(IFERROR(VALUE(MID(D20,FIND("(",D20)+1,FIND(")",D20)-(FIND("(",D20)+1))),1)&gt;LEN(Params!$B$3),Params!$A$4,Params!$A$3))),IF(D20="Decimal","double",LEFT(D20,6))))</f>
        <v/>
      </c>
      <c r="F20" s="6" t="e">
        <f t="shared" si="1"/>
        <v>#VALUE!</v>
      </c>
      <c r="G20" s="6" t="e">
        <f t="shared" si="2"/>
        <v>#VALUE!</v>
      </c>
      <c r="H20" s="6" t="e">
        <f>$B$1&amp;".set"&amp;UPPER(LEFT(F20,1))&amp;LOWER(RIGHT(F20,LEN(F20)-1))&amp;"("&amp;IF(E20="String","""""",IF(OR(E20="byte",E20="short"),"("&amp;E20&amp;") ","")&amp;0)&amp;");"</f>
        <v>#VALUE!</v>
      </c>
    </row>
    <row r="21" spans="3:8" x14ac:dyDescent="0.25">
      <c r="C21" s="17"/>
      <c r="D21" s="17"/>
      <c r="E21" s="6" t="str">
        <f>IF(D21="N/A","String",IF(LEFT(D21,6)="Number",IF(IFERROR(VALUE(MID(D21,FIND("(",D21)+1,FIND(")",D21)-(FIND("(",D21)+1))),1)&gt;LEN(Params!$B$5),Params!$A$6,IF(IFERROR(VALUE(MID(D21,FIND("(",D21)+1,FIND(")",D21)-(FIND("(",D21)+1))),1)&gt;LEN(Params!$B$4),Params!$A$5,IF(IFERROR(VALUE(MID(D21,FIND("(",D21)+1,FIND(")",D21)-(FIND("(",D21)+1))),1)&gt;LEN(Params!$B$3),Params!$A$4,Params!$A$3))),IF(D21="Decimal","double",LEFT(D21,6))))</f>
        <v/>
      </c>
      <c r="F21" s="6" t="e">
        <f t="shared" si="1"/>
        <v>#VALUE!</v>
      </c>
      <c r="G21" s="6" t="e">
        <f t="shared" si="2"/>
        <v>#VALUE!</v>
      </c>
      <c r="H21" s="6" t="e">
        <f t="shared" ref="H21:H26" si="3">$B$1&amp;".set"&amp;UPPER(LEFT(F21,1))&amp;LOWER(RIGHT(F21,LEN(F21)-1))&amp;"("&amp;IF(E21="String","""""",IF(OR(E21="byte",E21="short"),"("&amp;E21&amp;") ","")&amp;0)&amp;");"</f>
        <v>#VALUE!</v>
      </c>
    </row>
    <row r="22" spans="3:8" x14ac:dyDescent="0.25">
      <c r="C22" s="17"/>
      <c r="D22" s="17"/>
      <c r="E22" s="6" t="str">
        <f>IF(D22="N/A","String",IF(LEFT(D22,6)="Number",IF(IFERROR(VALUE(MID(D22,FIND("(",D22)+1,FIND(")",D22)-(FIND("(",D22)+1))),1)&gt;LEN(Params!$B$5),Params!$A$6,IF(IFERROR(VALUE(MID(D22,FIND("(",D22)+1,FIND(")",D22)-(FIND("(",D22)+1))),1)&gt;LEN(Params!$B$4),Params!$A$5,IF(IFERROR(VALUE(MID(D22,FIND("(",D22)+1,FIND(")",D22)-(FIND("(",D22)+1))),1)&gt;LEN(Params!$B$3),Params!$A$4,Params!$A$3))),IF(D22="Decimal","double",LEFT(D22,6))))</f>
        <v/>
      </c>
      <c r="F22" s="6" t="e">
        <f t="shared" si="1"/>
        <v>#VALUE!</v>
      </c>
      <c r="G22" s="6" t="e">
        <f t="shared" si="2"/>
        <v>#VALUE!</v>
      </c>
      <c r="H22" s="6" t="e">
        <f t="shared" si="3"/>
        <v>#VALUE!</v>
      </c>
    </row>
    <row r="23" spans="3:8" x14ac:dyDescent="0.25">
      <c r="C23" s="17"/>
      <c r="D23" s="17"/>
      <c r="E23" s="6" t="str">
        <f>IF(D23="N/A","String",IF(LEFT(D23,6)="Number",IF(IFERROR(VALUE(MID(D23,FIND("(",D23)+1,FIND(")",D23)-(FIND("(",D23)+1))),1)&gt;LEN(Params!$B$5),Params!$A$6,IF(IFERROR(VALUE(MID(D23,FIND("(",D23)+1,FIND(")",D23)-(FIND("(",D23)+1))),1)&gt;LEN(Params!$B$4),Params!$A$5,IF(IFERROR(VALUE(MID(D23,FIND("(",D23)+1,FIND(")",D23)-(FIND("(",D23)+1))),1)&gt;LEN(Params!$B$3),Params!$A$4,Params!$A$3))),IF(D23="Decimal","double",LEFT(D23,6))))</f>
        <v/>
      </c>
      <c r="F23" s="6" t="e">
        <f t="shared" si="1"/>
        <v>#VALUE!</v>
      </c>
      <c r="G23" s="6" t="e">
        <f t="shared" si="2"/>
        <v>#VALUE!</v>
      </c>
      <c r="H23" s="6" t="e">
        <f t="shared" si="3"/>
        <v>#VALUE!</v>
      </c>
    </row>
    <row r="24" spans="3:8" x14ac:dyDescent="0.25">
      <c r="C24" s="17"/>
      <c r="D24" s="17"/>
      <c r="E24" s="6" t="str">
        <f>IF(D24="N/A","String",IF(LEFT(D24,6)="Number",IF(IFERROR(VALUE(MID(D24,FIND("(",D24)+1,FIND(")",D24)-(FIND("(",D24)+1))),1)&gt;LEN(Params!$B$5),Params!$A$6,IF(IFERROR(VALUE(MID(D24,FIND("(",D24)+1,FIND(")",D24)-(FIND("(",D24)+1))),1)&gt;LEN(Params!$B$4),Params!$A$5,IF(IFERROR(VALUE(MID(D24,FIND("(",D24)+1,FIND(")",D24)-(FIND("(",D24)+1))),1)&gt;LEN(Params!$B$3),Params!$A$4,Params!$A$3))),IF(D24="Decimal","double",LEFT(D24,6))))</f>
        <v/>
      </c>
      <c r="F24" s="6" t="e">
        <f t="shared" si="1"/>
        <v>#VALUE!</v>
      </c>
      <c r="G24" s="6" t="e">
        <f t="shared" si="2"/>
        <v>#VALUE!</v>
      </c>
      <c r="H24" s="6" t="e">
        <f t="shared" si="3"/>
        <v>#VALUE!</v>
      </c>
    </row>
    <row r="25" spans="3:8" x14ac:dyDescent="0.25">
      <c r="C25" s="17"/>
      <c r="D25" s="17"/>
      <c r="E25" s="6" t="str">
        <f>IF(D25="N/A","String",IF(LEFT(D25,6)="Number",IF(IFERROR(VALUE(MID(D25,FIND("(",D25)+1,FIND(")",D25)-(FIND("(",D25)+1))),1)&gt;LEN(Params!$B$5),Params!$A$6,IF(IFERROR(VALUE(MID(D25,FIND("(",D25)+1,FIND(")",D25)-(FIND("(",D25)+1))),1)&gt;LEN(Params!$B$4),Params!$A$5,IF(IFERROR(VALUE(MID(D25,FIND("(",D25)+1,FIND(")",D25)-(FIND("(",D25)+1))),1)&gt;LEN(Params!$B$3),Params!$A$4,Params!$A$3))),IF(D25="Decimal","double",LEFT(D25,6))))</f>
        <v/>
      </c>
      <c r="F25" s="6" t="e">
        <f t="shared" si="1"/>
        <v>#VALUE!</v>
      </c>
      <c r="G25" s="6" t="e">
        <f t="shared" si="2"/>
        <v>#VALUE!</v>
      </c>
      <c r="H25" s="6" t="e">
        <f t="shared" si="3"/>
        <v>#VALUE!</v>
      </c>
    </row>
    <row r="26" spans="3:8" x14ac:dyDescent="0.25">
      <c r="C26" s="17"/>
      <c r="D26" s="17"/>
      <c r="E26" s="6" t="str">
        <f>IF(D26="N/A","String",IF(LEFT(D26,6)="Number",IF(IFERROR(VALUE(MID(D26,FIND("(",D26)+1,FIND(")",D26)-(FIND("(",D26)+1))),1)&gt;LEN(Params!$B$5),Params!$A$6,IF(IFERROR(VALUE(MID(D26,FIND("(",D26)+1,FIND(")",D26)-(FIND("(",D26)+1))),1)&gt;LEN(Params!$B$4),Params!$A$5,IF(IFERROR(VALUE(MID(D26,FIND("(",D26)+1,FIND(")",D26)-(FIND("(",D26)+1))),1)&gt;LEN(Params!$B$3),Params!$A$4,Params!$A$3))),IF(D26="Decimal","double",LEFT(D26,6))))</f>
        <v/>
      </c>
      <c r="F26" s="6" t="e">
        <f t="shared" si="1"/>
        <v>#VALUE!</v>
      </c>
      <c r="G26" s="6" t="e">
        <f t="shared" si="2"/>
        <v>#VALUE!</v>
      </c>
      <c r="H26" s="6" t="e">
        <f t="shared" si="3"/>
        <v>#VALUE!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workbookViewId="0">
      <selection activeCell="D32" sqref="D32"/>
    </sheetView>
  </sheetViews>
  <sheetFormatPr defaultRowHeight="15" x14ac:dyDescent="0.25"/>
  <cols>
    <col min="1" max="1" width="52.85546875" style="5" bestFit="1" customWidth="1"/>
    <col min="2" max="2" width="44" style="5" bestFit="1" customWidth="1"/>
    <col min="3" max="3" width="3.42578125" style="5" bestFit="1" customWidth="1"/>
    <col min="4" max="4" width="33" style="5" bestFit="1" customWidth="1"/>
    <col min="5" max="5" width="20.42578125" style="5" bestFit="1" customWidth="1"/>
    <col min="6" max="6" width="25.7109375" style="5" bestFit="1" customWidth="1"/>
    <col min="7" max="16384" width="9.140625" style="5"/>
  </cols>
  <sheetData>
    <row r="1" spans="1:6" x14ac:dyDescent="0.25">
      <c r="A1" s="4" t="s">
        <v>24</v>
      </c>
      <c r="B1" s="4" t="s">
        <v>0</v>
      </c>
      <c r="C1" s="4" t="s">
        <v>88</v>
      </c>
      <c r="D1" s="4" t="s">
        <v>5</v>
      </c>
      <c r="E1" s="4" t="s">
        <v>4</v>
      </c>
      <c r="F1" s="4" t="s">
        <v>1</v>
      </c>
    </row>
    <row r="2" spans="1:6" x14ac:dyDescent="0.25">
      <c r="A2" s="12" t="s">
        <v>25</v>
      </c>
      <c r="B2" s="11" t="str">
        <f>TRIM(A2)</f>
        <v>02 PE7293O.</v>
      </c>
      <c r="C2" s="6" t="str">
        <f>LEFT(B2,FIND(" ",B2)-1)</f>
        <v>02</v>
      </c>
      <c r="D2" s="6" t="str">
        <f t="shared" ref="D2:D63" si="0">IF(OR(VALUE(C2)=88,VALUE(C2)&lt;VALUE(C3)),"",MID(B2,LEN(C2)+2,FIND(" ",B2,LEN(C2)+2)-(LEN(C2)+2)))</f>
        <v/>
      </c>
      <c r="E2" s="6">
        <f t="shared" ref="E2:E5" si="1">IFERROR(FIND("PIC",B2),IFERROR(FIND("OCCURS",B2),0))</f>
        <v>0</v>
      </c>
      <c r="F2" s="1" t="str">
        <f>E2&amp;" "&amp;D2&amp;" "&amp;C2&amp;";"</f>
        <v>0  02;</v>
      </c>
    </row>
    <row r="3" spans="1:6" x14ac:dyDescent="0.25">
      <c r="A3" s="13" t="s">
        <v>26</v>
      </c>
      <c r="B3" s="11" t="str">
        <f t="shared" ref="B3:B64" si="2">TRIM(A3)</f>
        <v>04 PE7293OR.</v>
      </c>
      <c r="C3" s="6" t="str">
        <f t="shared" ref="C3:C64" si="3">LEFT(B3,FIND(" ",B3)-1)</f>
        <v>04</v>
      </c>
      <c r="D3" s="6" t="str">
        <f t="shared" si="0"/>
        <v/>
      </c>
      <c r="E3" s="6">
        <f t="shared" si="1"/>
        <v>0</v>
      </c>
      <c r="F3" s="1" t="str">
        <f t="shared" ref="F3:F14" si="4">E3&amp;" "&amp;D3&amp;" "&amp;C3&amp;";"</f>
        <v>0  04;</v>
      </c>
    </row>
    <row r="4" spans="1:6" x14ac:dyDescent="0.25">
      <c r="A4" s="13" t="s">
        <v>27</v>
      </c>
      <c r="B4" s="11" t="str">
        <f t="shared" si="2"/>
        <v>06 NUMFILAS PIC S9(9) COMP-3.</v>
      </c>
      <c r="C4" s="6" t="str">
        <f t="shared" si="3"/>
        <v>06</v>
      </c>
      <c r="D4" s="6" t="str">
        <f t="shared" si="0"/>
        <v>NUMFILAS</v>
      </c>
      <c r="E4" s="6">
        <f t="shared" si="1"/>
        <v>13</v>
      </c>
      <c r="F4" s="1" t="str">
        <f t="shared" si="4"/>
        <v>13 NUMFILAS 06;</v>
      </c>
    </row>
    <row r="5" spans="1:6" x14ac:dyDescent="0.25">
      <c r="A5" s="13" t="s">
        <v>28</v>
      </c>
      <c r="B5" s="11" t="str">
        <f t="shared" si="2"/>
        <v>06 CONTA PIC S9(3) COMP-3.</v>
      </c>
      <c r="C5" s="6" t="str">
        <f t="shared" si="3"/>
        <v>06</v>
      </c>
      <c r="D5" s="6" t="str">
        <f t="shared" si="0"/>
        <v>CONTA</v>
      </c>
      <c r="E5" s="6">
        <f t="shared" si="1"/>
        <v>10</v>
      </c>
      <c r="F5" s="1" t="str">
        <f t="shared" si="4"/>
        <v>10 CONTA 06;</v>
      </c>
    </row>
    <row r="6" spans="1:6" x14ac:dyDescent="0.25">
      <c r="A6" s="13" t="s">
        <v>29</v>
      </c>
      <c r="B6" s="11" t="str">
        <f t="shared" si="2"/>
        <v>06 PE7293R OCCURS 10 TIMES.</v>
      </c>
      <c r="C6" s="6" t="str">
        <f t="shared" si="3"/>
        <v>06</v>
      </c>
      <c r="D6" s="6" t="str">
        <f>IF(OR(VALUE(C6)=88,VALUE(C6)&lt;VALUE(C7)),"",MID(B6,LEN(C6)+2,FIND(" ",B6,LEN(C6)+2)-(LEN(C6)+2)))</f>
        <v/>
      </c>
      <c r="E6" s="6" t="str">
        <f>RIGHT(B6,LEN(B6)-IFERROR(FIND("PIC",B6),IFERROR(FIND("OCCURS",B6)-1,0)))</f>
        <v>OCCURS 10 TIMES.</v>
      </c>
      <c r="F6" s="1" t="str">
        <f t="shared" si="4"/>
        <v>OCCURS 10 TIMES.  06;</v>
      </c>
    </row>
    <row r="7" spans="1:6" x14ac:dyDescent="0.25">
      <c r="A7" s="13" t="s">
        <v>30</v>
      </c>
      <c r="B7" s="11" t="str">
        <f t="shared" si="2"/>
        <v>08 ENTIDNPER PIC XX.</v>
      </c>
      <c r="C7" s="6" t="str">
        <f t="shared" si="3"/>
        <v>08</v>
      </c>
      <c r="D7" s="6" t="str">
        <f t="shared" si="0"/>
        <v>ENTIDNPER</v>
      </c>
      <c r="E7" s="6">
        <f t="shared" ref="E7:E64" si="5">IFERROR(FIND("PIC",B7),IFERROR(FIND("OCCURS",B7),0))</f>
        <v>14</v>
      </c>
      <c r="F7" s="1" t="str">
        <f t="shared" si="4"/>
        <v>14 ENTIDNPER 08;</v>
      </c>
    </row>
    <row r="8" spans="1:6" x14ac:dyDescent="0.25">
      <c r="A8" s="13" t="s">
        <v>31</v>
      </c>
      <c r="B8" s="11" t="str">
        <f t="shared" si="2"/>
        <v>08 NUMPERSONA PIC S9(9) COMP-3.</v>
      </c>
      <c r="C8" s="6" t="str">
        <f t="shared" si="3"/>
        <v>08</v>
      </c>
      <c r="D8" s="6" t="str">
        <f t="shared" si="0"/>
        <v>NUMPERSONA</v>
      </c>
      <c r="E8" s="6">
        <f t="shared" si="5"/>
        <v>15</v>
      </c>
      <c r="F8" s="1" t="str">
        <f t="shared" si="4"/>
        <v>15 NUMPERSONA 08;</v>
      </c>
    </row>
    <row r="9" spans="1:6" x14ac:dyDescent="0.25">
      <c r="A9" s="13" t="s">
        <v>32</v>
      </c>
      <c r="B9" s="11" t="str">
        <f t="shared" si="2"/>
        <v>08 INDDATOS PIC X.</v>
      </c>
      <c r="C9" s="6" t="str">
        <f t="shared" si="3"/>
        <v>08</v>
      </c>
      <c r="D9" s="6" t="str">
        <f t="shared" si="0"/>
        <v>INDDATOS</v>
      </c>
      <c r="E9" s="6">
        <f t="shared" si="5"/>
        <v>13</v>
      </c>
      <c r="F9" s="1" t="str">
        <f t="shared" si="4"/>
        <v>13 INDDATOS 08;</v>
      </c>
    </row>
    <row r="10" spans="1:6" x14ac:dyDescent="0.25">
      <c r="A10" s="13" t="s">
        <v>33</v>
      </c>
      <c r="B10" s="11" t="str">
        <f t="shared" si="2"/>
        <v>08 NOMCOM PIC X(100).</v>
      </c>
      <c r="C10" s="6" t="str">
        <f t="shared" si="3"/>
        <v>08</v>
      </c>
      <c r="D10" s="6" t="str">
        <f t="shared" si="0"/>
        <v>NOMCOM</v>
      </c>
      <c r="E10" s="6">
        <f t="shared" si="5"/>
        <v>11</v>
      </c>
      <c r="F10" s="1" t="str">
        <f t="shared" si="4"/>
        <v>11 NOMCOM 08;</v>
      </c>
    </row>
    <row r="11" spans="1:6" x14ac:dyDescent="0.25">
      <c r="A11" s="13" t="s">
        <v>34</v>
      </c>
      <c r="B11" s="11" t="str">
        <f t="shared" si="2"/>
        <v>08 BS00DOMI PIC X(50).</v>
      </c>
      <c r="C11" s="6" t="str">
        <f t="shared" si="3"/>
        <v>08</v>
      </c>
      <c r="D11" s="6" t="str">
        <f t="shared" si="0"/>
        <v>BS00DOMI</v>
      </c>
      <c r="E11" s="6">
        <f t="shared" si="5"/>
        <v>13</v>
      </c>
      <c r="F11" s="1" t="str">
        <f t="shared" si="4"/>
        <v>13 BS00DOMI 08;</v>
      </c>
    </row>
    <row r="12" spans="1:6" x14ac:dyDescent="0.25">
      <c r="A12" s="13" t="s">
        <v>35</v>
      </c>
      <c r="B12" s="11" t="str">
        <f t="shared" si="2"/>
        <v>08 NUMIDEFISC PIC X(12).</v>
      </c>
      <c r="C12" s="6" t="str">
        <f t="shared" si="3"/>
        <v>08</v>
      </c>
      <c r="D12" s="6" t="str">
        <f t="shared" si="0"/>
        <v>NUMIDEFISC</v>
      </c>
      <c r="E12" s="6">
        <f t="shared" si="5"/>
        <v>15</v>
      </c>
      <c r="F12" s="1" t="str">
        <f t="shared" si="4"/>
        <v>15 NUMIDEFISC 08;</v>
      </c>
    </row>
    <row r="13" spans="1:6" x14ac:dyDescent="0.25">
      <c r="A13" s="13" t="s">
        <v>36</v>
      </c>
      <c r="B13" s="11" t="str">
        <f t="shared" si="2"/>
        <v>08 BS00EDAD PIC S9(3) COMP-3.</v>
      </c>
      <c r="C13" s="6" t="str">
        <f t="shared" si="3"/>
        <v>08</v>
      </c>
      <c r="D13" s="6" t="str">
        <f t="shared" si="0"/>
        <v>BS00EDAD</v>
      </c>
      <c r="E13" s="6">
        <f t="shared" si="5"/>
        <v>13</v>
      </c>
      <c r="F13" s="1" t="str">
        <f t="shared" si="4"/>
        <v>13 BS00EDAD 08;</v>
      </c>
    </row>
    <row r="14" spans="1:6" x14ac:dyDescent="0.25">
      <c r="A14" s="13" t="s">
        <v>37</v>
      </c>
      <c r="B14" s="11" t="str">
        <f t="shared" si="2"/>
        <v>08 FECNACIMIE PIC X(10).</v>
      </c>
      <c r="C14" s="6" t="str">
        <f t="shared" si="3"/>
        <v>08</v>
      </c>
      <c r="D14" s="6" t="str">
        <f t="shared" si="0"/>
        <v>FECNACIMIE</v>
      </c>
      <c r="E14" s="6">
        <f t="shared" si="5"/>
        <v>15</v>
      </c>
      <c r="F14" s="1" t="str">
        <f t="shared" si="4"/>
        <v>15 FECNACIMIE 08;</v>
      </c>
    </row>
    <row r="15" spans="1:6" x14ac:dyDescent="0.25">
      <c r="A15" s="13" t="s">
        <v>38</v>
      </c>
      <c r="B15" s="11" t="str">
        <f t="shared" si="2"/>
        <v>08 CLIANAL PIC X.</v>
      </c>
      <c r="C15" s="6" t="str">
        <f t="shared" si="3"/>
        <v>08</v>
      </c>
      <c r="D15" s="6" t="str">
        <f t="shared" si="0"/>
        <v>CLIANAL</v>
      </c>
      <c r="E15" s="6">
        <f t="shared" si="5"/>
        <v>12</v>
      </c>
    </row>
    <row r="16" spans="1:6" x14ac:dyDescent="0.25">
      <c r="A16" s="13" t="s">
        <v>39</v>
      </c>
      <c r="B16" s="11" t="str">
        <f t="shared" si="2"/>
        <v>08 INDNIVCONF PIC S9(5) COMP-3.</v>
      </c>
      <c r="C16" s="6" t="str">
        <f t="shared" si="3"/>
        <v>08</v>
      </c>
      <c r="D16" s="6" t="str">
        <f t="shared" si="0"/>
        <v>INDNIVCONF</v>
      </c>
      <c r="E16" s="6">
        <f t="shared" si="5"/>
        <v>15</v>
      </c>
    </row>
    <row r="17" spans="1:5" x14ac:dyDescent="0.25">
      <c r="A17" s="13" t="s">
        <v>40</v>
      </c>
      <c r="B17" s="11" t="str">
        <f t="shared" si="2"/>
        <v>08 INDNIVCONB PIC S9(5) COMP-3.</v>
      </c>
      <c r="C17" s="6" t="str">
        <f t="shared" si="3"/>
        <v>08</v>
      </c>
      <c r="D17" s="6" t="str">
        <f t="shared" si="0"/>
        <v>INDNIVCONB</v>
      </c>
      <c r="E17" s="6">
        <f t="shared" si="5"/>
        <v>15</v>
      </c>
    </row>
    <row r="18" spans="1:5" x14ac:dyDescent="0.25">
      <c r="A18" s="13" t="s">
        <v>41</v>
      </c>
      <c r="B18" s="11" t="str">
        <f t="shared" si="2"/>
        <v>08 INDSITECON PIC S9(3) COMP-3.</v>
      </c>
      <c r="C18" s="6" t="str">
        <f t="shared" si="3"/>
        <v>08</v>
      </c>
      <c r="D18" s="6" t="str">
        <f t="shared" si="0"/>
        <v>INDSITECON</v>
      </c>
      <c r="E18" s="6">
        <f t="shared" si="5"/>
        <v>15</v>
      </c>
    </row>
    <row r="19" spans="1:5" x14ac:dyDescent="0.25">
      <c r="A19" s="13" t="s">
        <v>42</v>
      </c>
      <c r="B19" s="11" t="str">
        <f t="shared" si="2"/>
        <v>08 CODDEVCORR PIC S9(3) COMP-3.</v>
      </c>
      <c r="C19" s="6" t="str">
        <f t="shared" si="3"/>
        <v>08</v>
      </c>
      <c r="D19" s="6" t="str">
        <f t="shared" si="0"/>
        <v/>
      </c>
      <c r="E19" s="6">
        <f t="shared" si="5"/>
        <v>15</v>
      </c>
    </row>
    <row r="20" spans="1:5" x14ac:dyDescent="0.25">
      <c r="A20" s="13" t="s">
        <v>43</v>
      </c>
      <c r="B20" s="11" t="str">
        <f t="shared" si="2"/>
        <v>88 DESCONOCIDO VALUE 1.</v>
      </c>
      <c r="C20" s="6" t="str">
        <f t="shared" si="3"/>
        <v>88</v>
      </c>
      <c r="D20" s="6" t="str">
        <f t="shared" si="0"/>
        <v/>
      </c>
      <c r="E20" s="6">
        <f t="shared" si="5"/>
        <v>0</v>
      </c>
    </row>
    <row r="21" spans="1:5" x14ac:dyDescent="0.25">
      <c r="A21" s="13" t="s">
        <v>44</v>
      </c>
      <c r="B21" s="11" t="str">
        <f t="shared" si="2"/>
        <v>88 DIRECCION-ERRONEA VALUE 2.</v>
      </c>
      <c r="C21" s="6" t="str">
        <f t="shared" si="3"/>
        <v>88</v>
      </c>
      <c r="D21" s="6" t="str">
        <f t="shared" si="0"/>
        <v/>
      </c>
      <c r="E21" s="6">
        <f t="shared" si="5"/>
        <v>0</v>
      </c>
    </row>
    <row r="22" spans="1:5" x14ac:dyDescent="0.25">
      <c r="A22" s="13" t="s">
        <v>45</v>
      </c>
      <c r="B22" s="11" t="str">
        <f t="shared" si="2"/>
        <v>88 AUSENTE VALUE 3.</v>
      </c>
      <c r="C22" s="6" t="str">
        <f t="shared" si="3"/>
        <v>88</v>
      </c>
      <c r="D22" s="6" t="str">
        <f t="shared" si="0"/>
        <v/>
      </c>
      <c r="E22" s="6">
        <f t="shared" si="5"/>
        <v>0</v>
      </c>
    </row>
    <row r="23" spans="1:5" x14ac:dyDescent="0.25">
      <c r="A23" s="13" t="s">
        <v>46</v>
      </c>
      <c r="B23" s="11" t="str">
        <f t="shared" si="2"/>
        <v>88 FALLECIDO VALUE 4.</v>
      </c>
      <c r="C23" s="6" t="str">
        <f t="shared" si="3"/>
        <v>88</v>
      </c>
      <c r="D23" s="6" t="str">
        <f t="shared" si="0"/>
        <v/>
      </c>
      <c r="E23" s="6">
        <f t="shared" si="5"/>
        <v>0</v>
      </c>
    </row>
    <row r="24" spans="1:5" x14ac:dyDescent="0.25">
      <c r="A24" s="13" t="s">
        <v>47</v>
      </c>
      <c r="B24" s="11" t="str">
        <f t="shared" si="2"/>
        <v>88 NO-ABRE-PORTAL VALUE 5.</v>
      </c>
      <c r="C24" s="6" t="str">
        <f t="shared" si="3"/>
        <v>88</v>
      </c>
      <c r="D24" s="6" t="str">
        <f t="shared" si="0"/>
        <v/>
      </c>
      <c r="E24" s="6">
        <f t="shared" si="5"/>
        <v>0</v>
      </c>
    </row>
    <row r="25" spans="1:5" x14ac:dyDescent="0.25">
      <c r="A25" s="13" t="s">
        <v>48</v>
      </c>
      <c r="B25" s="11" t="str">
        <f t="shared" si="2"/>
        <v>88 OTRAS-CAUSAS VALUE 99.</v>
      </c>
      <c r="C25" s="6" t="str">
        <f t="shared" si="3"/>
        <v>88</v>
      </c>
      <c r="D25" s="6" t="str">
        <f t="shared" si="0"/>
        <v/>
      </c>
      <c r="E25" s="6">
        <f t="shared" si="5"/>
        <v>0</v>
      </c>
    </row>
    <row r="26" spans="1:5" x14ac:dyDescent="0.25">
      <c r="A26" s="13" t="s">
        <v>49</v>
      </c>
      <c r="B26" s="11" t="str">
        <f t="shared" si="2"/>
        <v>08 DIGPERSONA PIC S99 COMP-3.</v>
      </c>
      <c r="C26" s="6" t="str">
        <f t="shared" si="3"/>
        <v>08</v>
      </c>
      <c r="D26" s="6" t="str">
        <f t="shared" si="0"/>
        <v>DIGPERSONA</v>
      </c>
      <c r="E26" s="6">
        <f t="shared" si="5"/>
        <v>15</v>
      </c>
    </row>
    <row r="27" spans="1:5" x14ac:dyDescent="0.25">
      <c r="A27" s="13" t="s">
        <v>50</v>
      </c>
      <c r="B27" s="11" t="str">
        <f t="shared" si="2"/>
        <v>08 INDNIVAVIM PIC S9(5) COMP-3.</v>
      </c>
      <c r="C27" s="6" t="str">
        <f t="shared" si="3"/>
        <v>08</v>
      </c>
      <c r="D27" s="6" t="str">
        <f t="shared" si="0"/>
        <v>INDNIVAVIM</v>
      </c>
      <c r="E27" s="6">
        <f t="shared" si="5"/>
        <v>15</v>
      </c>
    </row>
    <row r="28" spans="1:5" x14ac:dyDescent="0.25">
      <c r="A28" s="13" t="s">
        <v>51</v>
      </c>
      <c r="B28" s="11" t="str">
        <f t="shared" si="2"/>
        <v>08 INDIDIOMA PIC XX.</v>
      </c>
      <c r="C28" s="6" t="str">
        <f t="shared" si="3"/>
        <v>08</v>
      </c>
      <c r="D28" s="6" t="str">
        <f t="shared" si="0"/>
        <v/>
      </c>
      <c r="E28" s="6">
        <f t="shared" si="5"/>
        <v>14</v>
      </c>
    </row>
    <row r="29" spans="1:5" x14ac:dyDescent="0.25">
      <c r="A29" s="13" t="s">
        <v>52</v>
      </c>
      <c r="B29" s="11" t="str">
        <f t="shared" si="2"/>
        <v>88 CASTELLANO VALUE 'C'.</v>
      </c>
      <c r="C29" s="6" t="str">
        <f t="shared" si="3"/>
        <v>88</v>
      </c>
      <c r="D29" s="6" t="str">
        <f t="shared" si="0"/>
        <v/>
      </c>
      <c r="E29" s="6">
        <f t="shared" si="5"/>
        <v>0</v>
      </c>
    </row>
    <row r="30" spans="1:5" x14ac:dyDescent="0.25">
      <c r="A30" s="13" t="s">
        <v>53</v>
      </c>
      <c r="B30" s="11" t="str">
        <f t="shared" si="2"/>
        <v>88 EUSKERA VALUE 'E'.</v>
      </c>
      <c r="C30" s="6" t="str">
        <f t="shared" si="3"/>
        <v>88</v>
      </c>
      <c r="D30" s="6" t="str">
        <f t="shared" si="0"/>
        <v/>
      </c>
      <c r="E30" s="6">
        <f t="shared" si="5"/>
        <v>0</v>
      </c>
    </row>
    <row r="31" spans="1:5" x14ac:dyDescent="0.25">
      <c r="A31" s="13" t="s">
        <v>54</v>
      </c>
      <c r="B31" s="11" t="str">
        <f t="shared" si="2"/>
        <v>88 FRANCES VALUE 'F'.</v>
      </c>
      <c r="C31" s="6" t="str">
        <f t="shared" si="3"/>
        <v>88</v>
      </c>
      <c r="D31" s="6" t="str">
        <f t="shared" si="0"/>
        <v/>
      </c>
      <c r="E31" s="6">
        <f t="shared" si="5"/>
        <v>0</v>
      </c>
    </row>
    <row r="32" spans="1:5" x14ac:dyDescent="0.25">
      <c r="A32" s="13" t="s">
        <v>55</v>
      </c>
      <c r="B32" s="11" t="str">
        <f t="shared" si="2"/>
        <v>88 CATALAN VALUE 'T'.</v>
      </c>
      <c r="C32" s="6" t="str">
        <f t="shared" si="3"/>
        <v>88</v>
      </c>
      <c r="D32" s="6" t="str">
        <f t="shared" si="0"/>
        <v/>
      </c>
      <c r="E32" s="6">
        <f t="shared" si="5"/>
        <v>0</v>
      </c>
    </row>
    <row r="33" spans="1:5" x14ac:dyDescent="0.25">
      <c r="A33" s="13" t="s">
        <v>56</v>
      </c>
      <c r="B33" s="11" t="str">
        <f t="shared" si="2"/>
        <v>88 VALENCIANO VALUE 'V'.</v>
      </c>
      <c r="C33" s="6" t="str">
        <f t="shared" si="3"/>
        <v>88</v>
      </c>
      <c r="D33" s="6" t="str">
        <f t="shared" si="0"/>
        <v/>
      </c>
      <c r="E33" s="6">
        <f t="shared" si="5"/>
        <v>0</v>
      </c>
    </row>
    <row r="34" spans="1:5" x14ac:dyDescent="0.25">
      <c r="A34" s="13" t="s">
        <v>57</v>
      </c>
      <c r="B34" s="11" t="str">
        <f t="shared" si="2"/>
        <v>08 CODVALSEGM PIC S9(3) COMP-3.</v>
      </c>
      <c r="C34" s="6" t="str">
        <f t="shared" si="3"/>
        <v>08</v>
      </c>
      <c r="D34" s="6" t="str">
        <f t="shared" si="0"/>
        <v>CODVALSEGM</v>
      </c>
      <c r="E34" s="6">
        <f t="shared" si="5"/>
        <v>15</v>
      </c>
    </row>
    <row r="35" spans="1:5" x14ac:dyDescent="0.25">
      <c r="A35" s="13" t="s">
        <v>58</v>
      </c>
      <c r="B35" s="11" t="str">
        <f t="shared" si="2"/>
        <v>08 CODVALSGMN PIC S9(3) COMP-3.</v>
      </c>
      <c r="C35" s="6" t="str">
        <f t="shared" si="3"/>
        <v>08</v>
      </c>
      <c r="D35" s="6" t="str">
        <f t="shared" si="0"/>
        <v>CODVALSGMN</v>
      </c>
      <c r="E35" s="6">
        <f t="shared" si="5"/>
        <v>15</v>
      </c>
    </row>
    <row r="36" spans="1:5" x14ac:dyDescent="0.25">
      <c r="A36" s="13" t="s">
        <v>59</v>
      </c>
      <c r="B36" s="11" t="str">
        <f t="shared" si="2"/>
        <v>08 INDTIPPERS PIC X.</v>
      </c>
      <c r="C36" s="6" t="str">
        <f t="shared" si="3"/>
        <v>08</v>
      </c>
      <c r="D36" s="6" t="str">
        <f t="shared" si="0"/>
        <v/>
      </c>
      <c r="E36" s="6">
        <f t="shared" si="5"/>
        <v>15</v>
      </c>
    </row>
    <row r="37" spans="1:5" x14ac:dyDescent="0.25">
      <c r="A37" s="13" t="s">
        <v>60</v>
      </c>
      <c r="B37" s="11" t="str">
        <f t="shared" si="2"/>
        <v>88 PERSONA-FISICA VALUE 'F'.</v>
      </c>
      <c r="C37" s="6" t="str">
        <f t="shared" si="3"/>
        <v>88</v>
      </c>
      <c r="D37" s="6" t="str">
        <f t="shared" si="0"/>
        <v/>
      </c>
      <c r="E37" s="6">
        <f t="shared" si="5"/>
        <v>0</v>
      </c>
    </row>
    <row r="38" spans="1:5" x14ac:dyDescent="0.25">
      <c r="A38" s="13" t="s">
        <v>61</v>
      </c>
      <c r="B38" s="11" t="str">
        <f t="shared" si="2"/>
        <v>88 ENTE-COLECTIVO VALUE 'E'.</v>
      </c>
      <c r="C38" s="6" t="str">
        <f t="shared" si="3"/>
        <v>88</v>
      </c>
      <c r="D38" s="6" t="str">
        <f t="shared" si="0"/>
        <v/>
      </c>
      <c r="E38" s="6">
        <f t="shared" si="5"/>
        <v>0</v>
      </c>
    </row>
    <row r="39" spans="1:5" x14ac:dyDescent="0.25">
      <c r="A39" s="13" t="s">
        <v>62</v>
      </c>
      <c r="B39" s="11" t="str">
        <f t="shared" si="2"/>
        <v>08 INDTIPIDEF PIC S9(3) COMP-3.</v>
      </c>
      <c r="C39" s="6" t="str">
        <f t="shared" si="3"/>
        <v>08</v>
      </c>
      <c r="D39" s="6" t="str">
        <f t="shared" si="0"/>
        <v/>
      </c>
      <c r="E39" s="6">
        <f t="shared" si="5"/>
        <v>15</v>
      </c>
    </row>
    <row r="40" spans="1:5" x14ac:dyDescent="0.25">
      <c r="A40" s="13" t="s">
        <v>63</v>
      </c>
      <c r="B40" s="11" t="str">
        <f t="shared" si="2"/>
        <v>88 DNI VALUE 1.</v>
      </c>
      <c r="C40" s="6" t="str">
        <f t="shared" si="3"/>
        <v>88</v>
      </c>
      <c r="D40" s="6" t="str">
        <f t="shared" si="0"/>
        <v/>
      </c>
      <c r="E40" s="6">
        <f t="shared" si="5"/>
        <v>0</v>
      </c>
    </row>
    <row r="41" spans="1:5" x14ac:dyDescent="0.25">
      <c r="A41" s="13" t="s">
        <v>64</v>
      </c>
      <c r="B41" s="11" t="str">
        <f t="shared" si="2"/>
        <v>88 EXTRANJERO-TARJETA-RESIDENTE VALUE 3.</v>
      </c>
      <c r="C41" s="6" t="str">
        <f t="shared" si="3"/>
        <v>88</v>
      </c>
      <c r="D41" s="6" t="str">
        <f t="shared" si="0"/>
        <v/>
      </c>
      <c r="E41" s="6">
        <f t="shared" si="5"/>
        <v>0</v>
      </c>
    </row>
    <row r="42" spans="1:5" x14ac:dyDescent="0.25">
      <c r="A42" s="13" t="s">
        <v>65</v>
      </c>
      <c r="B42" s="11" t="str">
        <f t="shared" si="2"/>
        <v>88 EXTRANJERO-DOCUMENTO-IDENTIF VALUE 4.</v>
      </c>
      <c r="C42" s="6" t="str">
        <f t="shared" si="3"/>
        <v>88</v>
      </c>
      <c r="D42" s="6" t="str">
        <f t="shared" si="0"/>
        <v/>
      </c>
      <c r="E42" s="6">
        <f t="shared" si="5"/>
        <v>0</v>
      </c>
    </row>
    <row r="43" spans="1:5" x14ac:dyDescent="0.25">
      <c r="A43" s="13" t="s">
        <v>66</v>
      </c>
      <c r="B43" s="11" t="str">
        <f t="shared" si="2"/>
        <v>88 NIF VALUE 5.</v>
      </c>
      <c r="C43" s="6" t="str">
        <f t="shared" si="3"/>
        <v>88</v>
      </c>
      <c r="D43" s="6" t="str">
        <f t="shared" si="0"/>
        <v/>
      </c>
      <c r="E43" s="6">
        <f t="shared" si="5"/>
        <v>0</v>
      </c>
    </row>
    <row r="44" spans="1:5" x14ac:dyDescent="0.25">
      <c r="A44" s="13" t="s">
        <v>67</v>
      </c>
      <c r="B44" s="11" t="str">
        <f t="shared" si="2"/>
        <v>88 CIF VALUE 6.</v>
      </c>
      <c r="C44" s="6" t="str">
        <f t="shared" si="3"/>
        <v>88</v>
      </c>
      <c r="D44" s="6" t="str">
        <f t="shared" si="0"/>
        <v/>
      </c>
      <c r="E44" s="6">
        <f t="shared" si="5"/>
        <v>0</v>
      </c>
    </row>
    <row r="45" spans="1:5" x14ac:dyDescent="0.25">
      <c r="A45" s="13" t="s">
        <v>68</v>
      </c>
      <c r="B45" s="11" t="str">
        <f t="shared" si="2"/>
        <v>88 CIF-DISCRIMINADOR VALUE 8.</v>
      </c>
      <c r="C45" s="6" t="str">
        <f t="shared" si="3"/>
        <v>88</v>
      </c>
      <c r="D45" s="6" t="str">
        <f t="shared" si="0"/>
        <v/>
      </c>
      <c r="E45" s="6">
        <f t="shared" si="5"/>
        <v>0</v>
      </c>
    </row>
    <row r="46" spans="1:5" x14ac:dyDescent="0.25">
      <c r="A46" s="13" t="s">
        <v>69</v>
      </c>
      <c r="B46" s="11" t="str">
        <f t="shared" si="2"/>
        <v>88 CIF-EXTRANJERO VALUE 10.</v>
      </c>
      <c r="C46" s="6" t="str">
        <f t="shared" si="3"/>
        <v>88</v>
      </c>
      <c r="D46" s="6" t="str">
        <f t="shared" si="0"/>
        <v/>
      </c>
      <c r="E46" s="6">
        <f t="shared" si="5"/>
        <v>0</v>
      </c>
    </row>
    <row r="47" spans="1:5" x14ac:dyDescent="0.25">
      <c r="A47" s="13" t="s">
        <v>70</v>
      </c>
      <c r="B47" s="11" t="str">
        <f t="shared" si="2"/>
        <v>88 NIE-PERSONA-FISICA VALUE 11.</v>
      </c>
      <c r="C47" s="6" t="str">
        <f t="shared" si="3"/>
        <v>88</v>
      </c>
      <c r="D47" s="6" t="str">
        <f t="shared" si="0"/>
        <v/>
      </c>
      <c r="E47" s="6">
        <f t="shared" si="5"/>
        <v>0</v>
      </c>
    </row>
    <row r="48" spans="1:5" x14ac:dyDescent="0.25">
      <c r="A48" s="13" t="s">
        <v>71</v>
      </c>
      <c r="B48" s="11" t="str">
        <f t="shared" si="2"/>
        <v>88 NIE-PERSONA-JURIDICA VALUE 12.</v>
      </c>
      <c r="C48" s="6" t="str">
        <f t="shared" si="3"/>
        <v>88</v>
      </c>
      <c r="D48" s="6" t="str">
        <f t="shared" si="0"/>
        <v/>
      </c>
      <c r="E48" s="6">
        <f t="shared" si="5"/>
        <v>0</v>
      </c>
    </row>
    <row r="49" spans="1:5" x14ac:dyDescent="0.25">
      <c r="A49" s="13" t="s">
        <v>72</v>
      </c>
      <c r="B49" s="11" t="str">
        <f t="shared" si="2"/>
        <v>88 PASAPORTE-ESPANOL VALUE 13.</v>
      </c>
      <c r="C49" s="6" t="str">
        <f t="shared" si="3"/>
        <v>88</v>
      </c>
      <c r="D49" s="6" t="str">
        <f t="shared" si="0"/>
        <v/>
      </c>
      <c r="E49" s="6">
        <f t="shared" si="5"/>
        <v>0</v>
      </c>
    </row>
    <row r="50" spans="1:5" x14ac:dyDescent="0.25">
      <c r="A50" s="13" t="s">
        <v>73</v>
      </c>
      <c r="B50" s="11" t="str">
        <f t="shared" si="2"/>
        <v>88 GRUPO-DE-RIESGO VALUE 91.</v>
      </c>
      <c r="C50" s="6" t="str">
        <f t="shared" si="3"/>
        <v>88</v>
      </c>
      <c r="D50" s="6" t="str">
        <f t="shared" si="0"/>
        <v/>
      </c>
      <c r="E50" s="6">
        <f t="shared" si="5"/>
        <v>0</v>
      </c>
    </row>
    <row r="51" spans="1:5" x14ac:dyDescent="0.25">
      <c r="A51" s="13" t="s">
        <v>74</v>
      </c>
      <c r="B51" s="11" t="str">
        <f t="shared" si="2"/>
        <v>88 GRUPO-DE-GESTION VALUE 92.</v>
      </c>
      <c r="C51" s="6" t="str">
        <f t="shared" si="3"/>
        <v>88</v>
      </c>
      <c r="D51" s="6" t="str">
        <f t="shared" si="0"/>
        <v/>
      </c>
      <c r="E51" s="6">
        <f t="shared" si="5"/>
        <v>0</v>
      </c>
    </row>
    <row r="52" spans="1:5" x14ac:dyDescent="0.25">
      <c r="A52" s="13" t="s">
        <v>75</v>
      </c>
      <c r="B52" s="11" t="str">
        <f t="shared" si="2"/>
        <v>88 NOMBRE-COMERCIAL VALUE 93.</v>
      </c>
      <c r="C52" s="6" t="str">
        <f t="shared" si="3"/>
        <v>88</v>
      </c>
      <c r="D52" s="6" t="str">
        <f t="shared" si="0"/>
        <v/>
      </c>
      <c r="E52" s="6">
        <f t="shared" si="5"/>
        <v>0</v>
      </c>
    </row>
    <row r="53" spans="1:5" x14ac:dyDescent="0.25">
      <c r="A53" s="13" t="s">
        <v>76</v>
      </c>
      <c r="B53" s="11" t="str">
        <f t="shared" si="2"/>
        <v>88 MENOR-DE-EDAD VALUE 99.</v>
      </c>
      <c r="C53" s="6" t="str">
        <f t="shared" si="3"/>
        <v>88</v>
      </c>
      <c r="D53" s="6" t="str">
        <f t="shared" si="0"/>
        <v/>
      </c>
      <c r="E53" s="6">
        <f t="shared" si="5"/>
        <v>0</v>
      </c>
    </row>
    <row r="54" spans="1:5" x14ac:dyDescent="0.25">
      <c r="A54" s="13" t="s">
        <v>77</v>
      </c>
      <c r="B54" s="11" t="str">
        <f t="shared" si="2"/>
        <v>08 NUMREGISTR PIC S9(13) COMP-3.</v>
      </c>
      <c r="C54" s="6" t="str">
        <f t="shared" si="3"/>
        <v>08</v>
      </c>
      <c r="D54" s="6" t="str">
        <f t="shared" si="0"/>
        <v>NUMREGISTR</v>
      </c>
      <c r="E54" s="6">
        <f t="shared" si="5"/>
        <v>15</v>
      </c>
    </row>
    <row r="55" spans="1:5" x14ac:dyDescent="0.25">
      <c r="A55" s="13" t="s">
        <v>78</v>
      </c>
      <c r="B55" s="11" t="str">
        <f t="shared" si="2"/>
        <v>08 AD1COMORG PIC X(60).</v>
      </c>
      <c r="C55" s="6" t="str">
        <f t="shared" si="3"/>
        <v>08</v>
      </c>
      <c r="D55" s="6" t="str">
        <f t="shared" si="0"/>
        <v>AD1COMORG</v>
      </c>
      <c r="E55" s="6">
        <f t="shared" si="5"/>
        <v>14</v>
      </c>
    </row>
    <row r="56" spans="1:5" x14ac:dyDescent="0.25">
      <c r="A56" s="13" t="s">
        <v>79</v>
      </c>
      <c r="B56" s="11" t="str">
        <f t="shared" si="2"/>
        <v>08 AD3BULDING PIC X(60).</v>
      </c>
      <c r="C56" s="6" t="str">
        <f t="shared" si="3"/>
        <v>08</v>
      </c>
      <c r="D56" s="6" t="str">
        <f t="shared" si="0"/>
        <v>AD3BULDING</v>
      </c>
      <c r="E56" s="6">
        <f t="shared" si="5"/>
        <v>15</v>
      </c>
    </row>
    <row r="57" spans="1:5" x14ac:dyDescent="0.25">
      <c r="A57" s="13" t="s">
        <v>80</v>
      </c>
      <c r="B57" s="11" t="str">
        <f t="shared" si="2"/>
        <v>08 AD4UBULDIN PIC X(60).</v>
      </c>
      <c r="C57" s="6" t="str">
        <f t="shared" si="3"/>
        <v>08</v>
      </c>
      <c r="D57" s="6" t="str">
        <f t="shared" si="0"/>
        <v>AD4UBULDIN</v>
      </c>
      <c r="E57" s="6">
        <f t="shared" si="5"/>
        <v>15</v>
      </c>
    </row>
    <row r="58" spans="1:5" x14ac:dyDescent="0.25">
      <c r="A58" s="13" t="s">
        <v>81</v>
      </c>
      <c r="B58" s="11" t="str">
        <f t="shared" si="2"/>
        <v>08 NUMBUILDIN PIC S9(4) COMP.</v>
      </c>
      <c r="C58" s="6" t="str">
        <f t="shared" si="3"/>
        <v>08</v>
      </c>
      <c r="D58" s="6" t="str">
        <f t="shared" si="0"/>
        <v>NUMBUILDIN</v>
      </c>
      <c r="E58" s="6">
        <f t="shared" si="5"/>
        <v>15</v>
      </c>
    </row>
    <row r="59" spans="1:5" x14ac:dyDescent="0.25">
      <c r="A59" s="13" t="s">
        <v>82</v>
      </c>
      <c r="B59" s="11" t="str">
        <f t="shared" si="2"/>
        <v>08 AD5ADRSTRT PIC X(60).</v>
      </c>
      <c r="C59" s="6" t="str">
        <f t="shared" si="3"/>
        <v>08</v>
      </c>
      <c r="D59" s="6" t="str">
        <f t="shared" si="0"/>
        <v>AD5ADRSTRT</v>
      </c>
      <c r="E59" s="6">
        <f t="shared" si="5"/>
        <v>15</v>
      </c>
    </row>
    <row r="60" spans="1:5" x14ac:dyDescent="0.25">
      <c r="A60" s="13" t="s">
        <v>83</v>
      </c>
      <c r="B60" s="11" t="str">
        <f t="shared" si="2"/>
        <v>08 AD6TWNLNDI PIC X(60).</v>
      </c>
      <c r="C60" s="6" t="str">
        <f t="shared" si="3"/>
        <v>08</v>
      </c>
      <c r="D60" s="6" t="str">
        <f t="shared" si="0"/>
        <v>AD6TWNLNDI</v>
      </c>
      <c r="E60" s="6">
        <f t="shared" si="5"/>
        <v>15</v>
      </c>
    </row>
    <row r="61" spans="1:5" x14ac:dyDescent="0.25">
      <c r="A61" s="13" t="s">
        <v>84</v>
      </c>
      <c r="B61" s="11" t="str">
        <f t="shared" si="2"/>
        <v>08 AD7POSTOWN PIC X(60).</v>
      </c>
      <c r="C61" s="6" t="str">
        <f t="shared" si="3"/>
        <v>08</v>
      </c>
      <c r="D61" s="6" t="str">
        <f t="shared" si="0"/>
        <v>AD7POSTOWN</v>
      </c>
      <c r="E61" s="6">
        <f t="shared" si="5"/>
        <v>15</v>
      </c>
    </row>
    <row r="62" spans="1:5" x14ac:dyDescent="0.25">
      <c r="A62" s="13" t="s">
        <v>85</v>
      </c>
      <c r="B62" s="11" t="str">
        <f t="shared" si="2"/>
        <v>08 CODPOSTAL PIC X(8).</v>
      </c>
      <c r="C62" s="6" t="str">
        <f t="shared" si="3"/>
        <v>08</v>
      </c>
      <c r="D62" s="6" t="str">
        <f t="shared" si="0"/>
        <v>CODPOSTAL</v>
      </c>
      <c r="E62" s="6">
        <f t="shared" si="5"/>
        <v>14</v>
      </c>
    </row>
    <row r="63" spans="1:5" x14ac:dyDescent="0.25">
      <c r="A63" s="13" t="s">
        <v>86</v>
      </c>
      <c r="B63" s="11" t="str">
        <f t="shared" si="2"/>
        <v>08 CODPAIS PIC S9(3) COMP-3.</v>
      </c>
      <c r="C63" s="6" t="str">
        <f t="shared" si="3"/>
        <v>08</v>
      </c>
      <c r="D63" s="6" t="str">
        <f t="shared" si="0"/>
        <v>CODPAIS</v>
      </c>
      <c r="E63" s="6">
        <f t="shared" si="5"/>
        <v>12</v>
      </c>
    </row>
    <row r="64" spans="1:5" x14ac:dyDescent="0.25">
      <c r="A64" s="14" t="s">
        <v>87</v>
      </c>
      <c r="B64" s="11" t="str">
        <f t="shared" si="2"/>
        <v>08 FECULTACT PIC X(10).</v>
      </c>
      <c r="C64" s="6" t="str">
        <f t="shared" si="3"/>
        <v>08</v>
      </c>
      <c r="D64" s="6" t="str">
        <f>MID(B64,LEN(C64)+2,FIND(" ",B64,LEN(C64)+2)-(LEN(C64)+2))</f>
        <v>FECULTACT</v>
      </c>
      <c r="E64" s="6">
        <f t="shared" si="5"/>
        <v>14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E1" workbookViewId="0">
      <pane ySplit="570" topLeftCell="A4" activePane="bottomLeft"/>
      <selection activeCell="E1" sqref="E1"/>
      <selection pane="bottomLeft" activeCell="N7" sqref="N7"/>
    </sheetView>
  </sheetViews>
  <sheetFormatPr defaultRowHeight="15" x14ac:dyDescent="0.25"/>
  <cols>
    <col min="1" max="1" width="9.140625" style="5"/>
    <col min="2" max="2" width="52.85546875" style="5" bestFit="1" customWidth="1"/>
    <col min="3" max="3" width="30.28515625" style="5" bestFit="1" customWidth="1"/>
    <col min="4" max="4" width="3.42578125" style="5" bestFit="1" customWidth="1"/>
    <col min="5" max="5" width="12.7109375" style="5" bestFit="1" customWidth="1"/>
    <col min="6" max="6" width="16" style="5" bestFit="1" customWidth="1"/>
    <col min="7" max="10" width="16" style="5" customWidth="1"/>
    <col min="11" max="11" width="19.5703125" style="5" bestFit="1" customWidth="1"/>
    <col min="12" max="12" width="16" style="5" customWidth="1"/>
    <col min="13" max="13" width="22.5703125" style="5" bestFit="1" customWidth="1"/>
    <col min="14" max="15" width="68.7109375" style="5" customWidth="1"/>
    <col min="16" max="16" width="30.85546875" style="5" bestFit="1" customWidth="1"/>
    <col min="17" max="16384" width="9.140625" style="5"/>
  </cols>
  <sheetData>
    <row r="1" spans="1:16" x14ac:dyDescent="0.25">
      <c r="A1" s="4" t="s">
        <v>100</v>
      </c>
      <c r="B1" s="4" t="s">
        <v>24</v>
      </c>
      <c r="C1" s="4" t="s">
        <v>0</v>
      </c>
      <c r="D1" s="4" t="s">
        <v>88</v>
      </c>
      <c r="E1" s="4" t="s">
        <v>5</v>
      </c>
      <c r="F1" s="4" t="s">
        <v>101</v>
      </c>
      <c r="G1" s="4" t="s">
        <v>110</v>
      </c>
      <c r="H1" s="4" t="s">
        <v>111</v>
      </c>
      <c r="I1" s="4" t="s">
        <v>112</v>
      </c>
      <c r="J1" s="4" t="s">
        <v>102</v>
      </c>
      <c r="K1" s="4" t="s">
        <v>104</v>
      </c>
      <c r="L1" s="4" t="s">
        <v>103</v>
      </c>
      <c r="M1" s="4" t="s">
        <v>105</v>
      </c>
      <c r="N1" s="4"/>
      <c r="O1" s="4" t="s">
        <v>98</v>
      </c>
      <c r="P1" s="4" t="s">
        <v>1</v>
      </c>
    </row>
    <row r="2" spans="1:16" x14ac:dyDescent="0.25">
      <c r="A2" s="6">
        <v>30</v>
      </c>
      <c r="B2" s="12" t="s">
        <v>89</v>
      </c>
      <c r="C2" s="11" t="str">
        <f>TRIM(B2)</f>
        <v>03 EG7028I.</v>
      </c>
      <c r="D2" s="6" t="str">
        <f>LEFT(C2,FIND(" ",C2)-1)</f>
        <v>03</v>
      </c>
      <c r="E2" s="6" t="str">
        <f>MID(C2,LEN(D2)+2,MAX(IFERROR(FIND(" ",C2,LEN(D2)+2),IFERROR(FIND(".",C2,LEN(D2)+2),0)))-(LEN(D2)+2))</f>
        <v>EG7028I</v>
      </c>
      <c r="F2" s="6" t="str">
        <f t="shared" ref="F2:F5" si="0">IF(AND(ISERROR(FIND("PIC",C2)),ISERROR(FIND("OCCURS",C2))),"",RIGHT(C2,LEN(C2)-IFERROR(FIND("PIC",C2)-1,IFERROR(FIND("OCCURS",C2)-1,0))))</f>
        <v/>
      </c>
      <c r="G2" s="6" t="str">
        <f>IFERROR(MID(F2,FIND(" ",F2)+1,FIND(".",F2)-FIND(" ",F2)-1),"")</f>
        <v/>
      </c>
      <c r="H2" s="6"/>
      <c r="I2" s="6"/>
      <c r="J2" s="6" t="str">
        <f>SUBSTITUTE(UPPER(LEFT(E2,1))&amp;LOWER(RIGHT(E2,LEN(E2)-1)),"-","")</f>
        <v>Eg7028i</v>
      </c>
      <c r="K2" s="1" t="s">
        <v>107</v>
      </c>
      <c r="L2" s="6" t="str">
        <f>SUBSTITUTE(LOWER(E2),"-","")</f>
        <v>eg7028i</v>
      </c>
      <c r="M2" s="1"/>
      <c r="N2" s="15" t="str">
        <f>"&lt;complexType name="""&amp;IF(K2="",J2,K2)&amp;"""&gt;&lt;sequence&gt;"</f>
        <v>&lt;complexType name="Eg7028I"&gt;&lt;sequence&gt;</v>
      </c>
      <c r="O2" s="15" t="s">
        <v>106</v>
      </c>
      <c r="P2" s="1" t="str">
        <f t="shared" ref="P2:P10" si="1">F2&amp;" "&amp;E2&amp;" "&amp;D2&amp;";"</f>
        <v xml:space="preserve"> EG7028I 03;</v>
      </c>
    </row>
    <row r="3" spans="1:16" ht="180" x14ac:dyDescent="0.25">
      <c r="A3" s="6">
        <f>A2+1</f>
        <v>31</v>
      </c>
      <c r="B3" s="13" t="s">
        <v>90</v>
      </c>
      <c r="C3" s="11" t="str">
        <f t="shared" ref="C3:C10" si="2">TRIM(B3)</f>
        <v>05 EG8529P-I.</v>
      </c>
      <c r="D3" s="6" t="str">
        <f t="shared" ref="D3:D10" si="3">LEFT(C3,FIND(" ",C3)-1)</f>
        <v>05</v>
      </c>
      <c r="E3" s="6" t="str">
        <f t="shared" ref="E3:E10" si="4">MID(C3,LEN(D3)+2,MAX(IFERROR(FIND(" ",C3,LEN(D3)+2),IFERROR(FIND(".",C3,LEN(D3)+2),0)))-(LEN(D3)+2))</f>
        <v>EG8529P-I</v>
      </c>
      <c r="F3" s="6" t="str">
        <f t="shared" si="0"/>
        <v/>
      </c>
      <c r="G3" s="6" t="str">
        <f>IFERROR(MID(F3,FIND(" ",F3)+1,FIND(".",F3)-FIND(" ",F3)-1),"")</f>
        <v/>
      </c>
      <c r="H3" s="6"/>
      <c r="I3" s="6"/>
      <c r="J3" s="6" t="str">
        <f t="shared" ref="J3:J10" si="5">SUBSTITUTE(UPPER(LEFT(E3,1))&amp;LOWER(RIGHT(E3,LEN(E3)-1)),"-","")</f>
        <v>Eg8529pi</v>
      </c>
      <c r="K3" s="1" t="s">
        <v>109</v>
      </c>
      <c r="L3" s="6" t="str">
        <f t="shared" ref="L3:L10" si="6">SUBSTITUTE(LOWER(E3),"-","")</f>
        <v>eg8529pi</v>
      </c>
      <c r="M3" s="1" t="s">
        <v>108</v>
      </c>
      <c r="N3" s="15" t="str">
        <f>"&lt;element name="""&amp;IF(M3="",L3,M3)&amp;" type=""tns:"&amp;IF(K3="",J3,K3)&amp;"""&gt;&lt;annotation&gt;&lt;appinfo&gt;
&lt;cb:cobolElement cobolName="""&amp;E3&amp;""" levelNumber="""&amp;VALUE(D3)&amp;""" srceLine="""&amp;A3&amp;""" type=""GROUP_ITEM""/&gt;&lt;/appinfo&gt;&lt;/annotation&gt;&lt;/element&gt;&lt;/sequence&gt;&lt;/complexType&gt;"</f>
        <v>&lt;element name="eg8529PI type="tns:Eg8529PI"&gt;&lt;annotation&gt;&lt;appinfo&gt;
&lt;cb:cobolElement cobolName="EG8529P-I" levelNumber="5" srceLine="31" type="GROUP_ITEM"/&gt;&lt;/appinfo&gt;&lt;/annotation&gt;&lt;/element&gt;&lt;/sequence&gt;&lt;/complexType&gt;</v>
      </c>
      <c r="O3" s="15" t="s">
        <v>99</v>
      </c>
      <c r="P3" s="1" t="str">
        <f t="shared" si="1"/>
        <v xml:space="preserve"> EG8529P-I 05;</v>
      </c>
    </row>
    <row r="4" spans="1:16" ht="75" x14ac:dyDescent="0.25">
      <c r="A4" s="6">
        <f t="shared" ref="A4:A10" si="7">A3+1</f>
        <v>32</v>
      </c>
      <c r="B4" s="13" t="s">
        <v>91</v>
      </c>
      <c r="C4" s="11" t="str">
        <f t="shared" si="2"/>
        <v>07 OPTION PIC X.</v>
      </c>
      <c r="D4" s="6" t="str">
        <f t="shared" si="3"/>
        <v>07</v>
      </c>
      <c r="E4" s="6" t="str">
        <f t="shared" si="4"/>
        <v>OPTION</v>
      </c>
      <c r="F4" s="6" t="str">
        <f t="shared" si="0"/>
        <v>PIC X.</v>
      </c>
      <c r="G4" s="6" t="str">
        <f>MID(F4,FIND(" ",F4)+1,FIND(".",F4)-FIND(" ",F4)-1)</f>
        <v>X</v>
      </c>
      <c r="H4" s="6"/>
      <c r="I4" s="6">
        <f>IFERROR(VALUE(MID(G4,FIND("(",G4)+1,FIND(")",G4)-(FIND("(",G4)+1))),1)</f>
        <v>1</v>
      </c>
      <c r="J4" s="6" t="str">
        <f t="shared" si="5"/>
        <v>Option</v>
      </c>
      <c r="K4" s="1"/>
      <c r="L4" s="6" t="str">
        <f t="shared" si="6"/>
        <v>option</v>
      </c>
      <c r="M4" s="1"/>
      <c r="N4" s="15" t="str">
        <f>"&lt;element name="""&amp;IF(M4="",L4,M4)&amp;"""&gt;&lt;annotation&gt;&lt;appinfo&gt;&lt;cb:cobolElement cobolName="""&amp;E4&amp;""" levelNumber="""&amp;VALUE(D4)&amp;""" picture="""&amp;G4&amp;""" srceLine="""&amp;A4&amp;""" type="""&amp;IF(LEFT(G4,1)="X","ALPHANUMERIC_ITEM","¿?")&amp;"""/&gt;&lt;/appinfo&gt;&lt;/annotation&gt;&lt;simpleType&gt;&lt;restriction base=""string""&gt;&lt;maxLength value="""&amp;I4&amp;"""/&gt;&lt;/restriction&gt;&lt;/simpleType&gt;&lt;/element&gt;"</f>
        <v>&lt;element name="option"&gt;&lt;annotation&gt;&lt;appinfo&gt;&lt;cb:cobolElement cobolName="OPTION" levelNumber="7" picture="X" srceLine="32" type="ALPHANUMERIC_ITEM"/&gt;&lt;/appinfo&gt;&lt;/annotation&gt;&lt;simpleType&gt;&lt;restriction base="string"&gt;&lt;maxLength value="1"/&gt;&lt;/restriction&gt;&lt;/simpleType&gt;&lt;/element&gt;</v>
      </c>
      <c r="O4" s="15" t="s">
        <v>113</v>
      </c>
      <c r="P4" s="1" t="str">
        <f t="shared" si="1"/>
        <v>PIC X. OPTION 07;</v>
      </c>
    </row>
    <row r="5" spans="1:16" ht="75" x14ac:dyDescent="0.25">
      <c r="A5" s="6">
        <f t="shared" si="7"/>
        <v>33</v>
      </c>
      <c r="B5" s="13" t="s">
        <v>92</v>
      </c>
      <c r="C5" s="11" t="str">
        <f t="shared" si="2"/>
        <v>07 CODPOSTAL PIC X(8).</v>
      </c>
      <c r="D5" s="6" t="str">
        <f t="shared" si="3"/>
        <v>07</v>
      </c>
      <c r="E5" s="6" t="str">
        <f t="shared" si="4"/>
        <v>CODPOSTAL</v>
      </c>
      <c r="F5" s="6" t="str">
        <f t="shared" si="0"/>
        <v>PIC X(8).</v>
      </c>
      <c r="G5" s="6" t="str">
        <f t="shared" ref="G5:G10" si="8">MID(F5,FIND(" ",F5)+1,FIND(".",F5)-FIND(" ",F5)-1)</f>
        <v>X(8)</v>
      </c>
      <c r="H5" s="6"/>
      <c r="I5" s="6">
        <f t="shared" ref="I5:I10" si="9">IFERROR(VALUE(MID(G5,FIND("(",G5)+1,FIND(")",G5)-(FIND("(",G5)+1))),1)</f>
        <v>8</v>
      </c>
      <c r="J5" s="6" t="str">
        <f t="shared" si="5"/>
        <v>Codpostal</v>
      </c>
      <c r="K5" s="1"/>
      <c r="L5" s="6" t="str">
        <f t="shared" si="6"/>
        <v>codpostal</v>
      </c>
      <c r="M5" s="1"/>
      <c r="N5" s="15" t="str">
        <f>"&lt;element name="""&amp;IF(M5="",L5,M5)&amp;"""&gt;&lt;annotation&gt;&lt;appinfo&gt;&lt;cb:cobolElement cobolName="""&amp;E5&amp;""" levelNumber="""&amp;VALUE(D5)&amp;""" picture="""&amp;G5&amp;""" srceLine="""&amp;A5&amp;""" type="""&amp;IF(LEFT(G5,1)="X","ALPHANUMERIC_ITEM","¿?")&amp;"""/&gt;&lt;/appinfo&gt;&lt;/annotation&gt;&lt;simpleType&gt;&lt;restriction base=""string""&gt;&lt;maxLength value="""&amp;I5&amp;"""/&gt;&lt;/restriction&gt;&lt;/simpleType&gt;&lt;/element&gt;"</f>
        <v>&lt;element name="codpostal"&gt;&lt;annotation&gt;&lt;appinfo&gt;&lt;cb:cobolElement cobolName="CODPOSTAL" levelNumber="7" picture="X(8)" srceLine="33" type="ALPHANUMERIC_ITEM"/&gt;&lt;/appinfo&gt;&lt;/annotation&gt;&lt;simpleType&gt;&lt;restriction base="string"&gt;&lt;maxLength value="8"/&gt;&lt;/restriction&gt;&lt;/simpleType&gt;&lt;/element&gt;</v>
      </c>
      <c r="O5" s="15" t="s">
        <v>114</v>
      </c>
      <c r="P5" s="1" t="str">
        <f t="shared" si="1"/>
        <v>PIC X(8). CODPOSTAL 07;</v>
      </c>
    </row>
    <row r="6" spans="1:16" ht="90" x14ac:dyDescent="0.25">
      <c r="A6" s="6">
        <f t="shared" si="7"/>
        <v>34</v>
      </c>
      <c r="B6" s="13" t="s">
        <v>93</v>
      </c>
      <c r="C6" s="11" t="str">
        <f t="shared" si="2"/>
        <v>07 THORONAME PIC X(60).</v>
      </c>
      <c r="D6" s="6" t="str">
        <f t="shared" si="3"/>
        <v>07</v>
      </c>
      <c r="E6" s="6" t="str">
        <f t="shared" si="4"/>
        <v>THORONAME</v>
      </c>
      <c r="F6" s="6" t="str">
        <f>IF(AND(ISERROR(FIND("PIC",C6)),ISERROR(FIND("OCCURS",C6))),"",RIGHT(C6,LEN(C6)-IFERROR(FIND("PIC",C6)-1,IFERROR(FIND("OCCURS",C6)-1,0))))</f>
        <v>PIC X(60).</v>
      </c>
      <c r="G6" s="6" t="str">
        <f t="shared" si="8"/>
        <v>X(60)</v>
      </c>
      <c r="H6" s="6"/>
      <c r="I6" s="6">
        <f t="shared" si="9"/>
        <v>60</v>
      </c>
      <c r="J6" s="6" t="str">
        <f t="shared" si="5"/>
        <v>Thoroname</v>
      </c>
      <c r="K6" s="1"/>
      <c r="L6" s="6" t="str">
        <f t="shared" si="6"/>
        <v>thoroname</v>
      </c>
      <c r="M6" s="1"/>
      <c r="N6" s="15" t="str">
        <f>"&lt;element name="""&amp;IF(M6="",L6,M6)&amp;"""&gt;&lt;annotation&gt;&lt;appinfo&gt;&lt;cb:cobolElement cobolName="""&amp;E6&amp;""" levelNumber="""&amp;VALUE(D6)&amp;""" picture="""&amp;G6&amp;""" srceLine="""&amp;A6&amp;""" type="""&amp;IF(LEFT(G6,1)="X","ALPHANUMERIC_ITEM","¿?")&amp;"""/&gt;&lt;/appinfo&gt;&lt;/annotation&gt;&lt;simpleType&gt;&lt;restriction base=""string""&gt;&lt;maxLength value="""&amp;I6&amp;"""/&gt;&lt;/restriction&gt;&lt;/simpleType&gt;&lt;/element&gt;"</f>
        <v>&lt;element name="thoroname"&gt;&lt;annotation&gt;&lt;appinfo&gt;&lt;cb:cobolElement cobolName="THORONAME" levelNumber="7" picture="X(60)" srceLine="34" type="ALPHANUMERIC_ITEM"/&gt;&lt;/appinfo&gt;&lt;/annotation&gt;&lt;simpleType&gt;&lt;restriction base="string"&gt;&lt;maxLength value="60"/&gt;&lt;/restriction&gt;&lt;/simpleType&gt;&lt;/element&gt;</v>
      </c>
      <c r="O6" s="15" t="s">
        <v>115</v>
      </c>
      <c r="P6" s="1" t="str">
        <f t="shared" si="1"/>
        <v>PIC X(60). THORONAME 07;</v>
      </c>
    </row>
    <row r="7" spans="1:16" ht="90" x14ac:dyDescent="0.25">
      <c r="A7" s="6">
        <f t="shared" si="7"/>
        <v>35</v>
      </c>
      <c r="B7" s="13" t="s">
        <v>94</v>
      </c>
      <c r="C7" s="11" t="str">
        <f t="shared" si="2"/>
        <v>07 NUMBUILDIN PIC S9(4) COMP.</v>
      </c>
      <c r="D7" s="6" t="str">
        <f t="shared" si="3"/>
        <v>07</v>
      </c>
      <c r="E7" s="6" t="str">
        <f t="shared" si="4"/>
        <v>NUMBUILDIN</v>
      </c>
      <c r="F7" s="6" t="str">
        <f t="shared" ref="F7:F10" si="10">IF(AND(ISERROR(FIND("PIC",C7)),ISERROR(FIND("OCCURS",C7))),"",RIGHT(C7,LEN(C7)-IFERROR(FIND("PIC",C7)-1,IFERROR(FIND("OCCURS",C7)-1,0))))</f>
        <v>PIC S9(4) COMP.</v>
      </c>
      <c r="G7" s="6" t="str">
        <f t="shared" si="8"/>
        <v>S9(4) COMP</v>
      </c>
      <c r="H7" s="6" t="str">
        <f>LEFT(G7,FIND("(",G7)-1)&amp;IFERROR(RIGHT(G7,LEN(G7)-FIND(")",G7)),"")</f>
        <v>S9 COMP</v>
      </c>
      <c r="I7" s="6">
        <f t="shared" si="9"/>
        <v>4</v>
      </c>
      <c r="J7" s="6" t="str">
        <f t="shared" si="5"/>
        <v>Numbuildin</v>
      </c>
      <c r="K7" s="1"/>
      <c r="L7" s="6" t="str">
        <f t="shared" si="6"/>
        <v>numbuildin</v>
      </c>
      <c r="M7" s="1"/>
      <c r="N7" s="15" t="str">
        <f>"&lt;element name="""&amp;IF(M7="",L7,M7)&amp;"""&gt;&lt;annotation&gt;&lt;appinfo&gt;&lt;cb:cobolElement cobolName="""&amp;E7&amp;""" levelNumber="""&amp;VALUE(D7)&amp;""" picture="""&amp;G7&amp;""" srceLine="""&amp;A7&amp;""" type="""&amp;IF(LEFT(G7,1)="X","ALPHANUMERIC_ITEM","¿?")&amp;"""/&gt;&lt;/appinfo&gt;&lt;/annotation&gt;&lt;simpleType&gt;&lt;restriction base=""string""&gt;&lt;maxLength value="""&amp;I7&amp;"""/&gt;&lt;/restriction&gt;&lt;/simpleType&gt;&lt;/element&gt;"</f>
        <v>&lt;element name="numbuildin"&gt;&lt;annotation&gt;&lt;appinfo&gt;&lt;cb:cobolElement cobolName="NUMBUILDIN" levelNumber="7" picture="S9(4) COMP" srceLine="35" type="¿?"/&gt;&lt;/appinfo&gt;&lt;/annotation&gt;&lt;simpleType&gt;&lt;restriction base="string"&gt;&lt;maxLength value="4"/&gt;&lt;/restriction&gt;&lt;/simpleType&gt;&lt;/element&gt;</v>
      </c>
      <c r="O7" s="15" t="s">
        <v>116</v>
      </c>
      <c r="P7" s="1" t="str">
        <f t="shared" si="1"/>
        <v>PIC S9(4) COMP. NUMBUILDIN 07;</v>
      </c>
    </row>
    <row r="8" spans="1:16" ht="45" x14ac:dyDescent="0.25">
      <c r="A8" s="6">
        <f t="shared" si="7"/>
        <v>36</v>
      </c>
      <c r="B8" s="13" t="s">
        <v>95</v>
      </c>
      <c r="C8" s="11" t="str">
        <f t="shared" si="2"/>
        <v>07 CODADRKEY PIC 9(8) DISPLAY.</v>
      </c>
      <c r="D8" s="6" t="str">
        <f t="shared" si="3"/>
        <v>07</v>
      </c>
      <c r="E8" s="6" t="str">
        <f t="shared" si="4"/>
        <v>CODADRKEY</v>
      </c>
      <c r="F8" s="6" t="str">
        <f t="shared" si="10"/>
        <v>PIC 9(8) DISPLAY.</v>
      </c>
      <c r="G8" s="6" t="str">
        <f t="shared" si="8"/>
        <v>9(8) DISPLAY</v>
      </c>
      <c r="H8" s="6"/>
      <c r="I8" s="6">
        <f t="shared" si="9"/>
        <v>8</v>
      </c>
      <c r="J8" s="6" t="str">
        <f t="shared" si="5"/>
        <v>Codadrkey</v>
      </c>
      <c r="K8" s="1"/>
      <c r="L8" s="6" t="str">
        <f t="shared" si="6"/>
        <v>codadrkey</v>
      </c>
      <c r="M8" s="1"/>
      <c r="N8" s="15" t="str">
        <f>LEFT(N7,N9)</f>
        <v>&lt;element name="numbuildin"&gt;&lt;annotation&gt;&lt;appinfo&gt;&lt;cb:cobolElement cobolName="NUMBUILDIN" levelNumber="7" picture="S9(4) COMP" srceLine="35" type="¿?"/&gt;</v>
      </c>
      <c r="O8" s="15" t="str">
        <f>LEFT(O7,N9)</f>
        <v>&lt;element name="numbuildin"&gt;&lt;annotation&gt;&lt;appinfo&gt;&lt;cb:cobolElement cobolName="NUMBUILDIN" levelNumber="7" picture="S9(4)" signed="true" srceLine="35" to</v>
      </c>
      <c r="P8" s="1" t="str">
        <f t="shared" si="1"/>
        <v>PIC 9(8) DISPLAY. CODADRKEY 07;</v>
      </c>
    </row>
    <row r="9" spans="1:16" x14ac:dyDescent="0.25">
      <c r="A9" s="6">
        <f t="shared" si="7"/>
        <v>37</v>
      </c>
      <c r="B9" s="13" t="s">
        <v>96</v>
      </c>
      <c r="C9" s="11" t="str">
        <f t="shared" si="2"/>
        <v>07 CODORGKEY PIC 9(8) DISPLAY.</v>
      </c>
      <c r="D9" s="6" t="str">
        <f t="shared" si="3"/>
        <v>07</v>
      </c>
      <c r="E9" s="6" t="str">
        <f t="shared" si="4"/>
        <v>CODORGKEY</v>
      </c>
      <c r="F9" s="6" t="str">
        <f t="shared" si="10"/>
        <v>PIC 9(8) DISPLAY.</v>
      </c>
      <c r="G9" s="6" t="str">
        <f t="shared" si="8"/>
        <v>9(8) DISPLAY</v>
      </c>
      <c r="H9" s="6"/>
      <c r="I9" s="6">
        <f t="shared" si="9"/>
        <v>8</v>
      </c>
      <c r="J9" s="6" t="str">
        <f t="shared" si="5"/>
        <v>Codorgkey</v>
      </c>
      <c r="K9" s="1"/>
      <c r="L9" s="6" t="str">
        <f t="shared" si="6"/>
        <v>codorgkey</v>
      </c>
      <c r="M9" s="1"/>
      <c r="N9" s="15">
        <v>150</v>
      </c>
      <c r="O9" s="15"/>
      <c r="P9" s="1" t="str">
        <f t="shared" si="1"/>
        <v>PIC 9(8) DISPLAY. CODORGKEY 07;</v>
      </c>
    </row>
    <row r="10" spans="1:16" x14ac:dyDescent="0.25">
      <c r="A10" s="6">
        <f t="shared" si="7"/>
        <v>38</v>
      </c>
      <c r="B10" s="13" t="s">
        <v>97</v>
      </c>
      <c r="C10" s="11" t="str">
        <f t="shared" si="2"/>
        <v>07 CODPOSTYPE PIC X.</v>
      </c>
      <c r="D10" s="6" t="str">
        <f t="shared" si="3"/>
        <v>07</v>
      </c>
      <c r="E10" s="6" t="str">
        <f t="shared" si="4"/>
        <v>CODPOSTYPE</v>
      </c>
      <c r="F10" s="6" t="str">
        <f t="shared" si="10"/>
        <v>PIC X.</v>
      </c>
      <c r="G10" s="6" t="str">
        <f t="shared" si="8"/>
        <v>X</v>
      </c>
      <c r="H10" s="6"/>
      <c r="I10" s="6">
        <f t="shared" si="9"/>
        <v>1</v>
      </c>
      <c r="J10" s="6" t="str">
        <f t="shared" si="5"/>
        <v>Codpostype</v>
      </c>
      <c r="K10" s="1"/>
      <c r="L10" s="6" t="str">
        <f t="shared" si="6"/>
        <v>codpostype</v>
      </c>
      <c r="M10" s="1"/>
      <c r="N10" s="6" t="b">
        <f>LEFT(N7,N9)=LEFT(O7,N9)</f>
        <v>0</v>
      </c>
      <c r="O10" s="6"/>
      <c r="P10" s="1" t="str">
        <f t="shared" si="1"/>
        <v>PIC X. CODPOSTYPE 07;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5" x14ac:dyDescent="0.25"/>
  <cols>
    <col min="1" max="1" width="17.5703125" bestFit="1" customWidth="1"/>
    <col min="2" max="3" width="22.28515625" bestFit="1" customWidth="1"/>
    <col min="5" max="5" width="14.7109375" bestFit="1" customWidth="1"/>
    <col min="6" max="6" width="17.5703125" bestFit="1" customWidth="1"/>
  </cols>
  <sheetData>
    <row r="1" spans="1:3" x14ac:dyDescent="0.25">
      <c r="A1" t="str">
        <f ca="1">ADDRESS(ROW()+2,COLUMN(),1,1,"Params")&amp;":"&amp;ADDRESS(ROW()+1+COUNTA(INDIRECT(ADDRESS(ROW()+2,COLUMN())&amp;":"&amp;ADDRESS(ROW()+22,COLUMN()))),COLUMN(),1)</f>
        <v>Params!$A$3:$A$6</v>
      </c>
      <c r="B1" t="str">
        <f ca="1">ADDRESS(ROW()+2,COLUMN(),1,1,"Params")&amp;":"&amp;ADDRESS(ROW()+1+COUNTA(INDIRECT(ADDRESS(ROW()+2,COLUMN())&amp;":"&amp;ADDRESS(ROW()+22,COLUMN()))),COLUMN(),1)</f>
        <v>Params!$B$3:$B$6</v>
      </c>
      <c r="C1" t="str">
        <f ca="1">ADDRESS(ROW()+2,COLUMN(),1,1,"Params")&amp;":"&amp;ADDRESS(ROW()+1+COUNTA(INDIRECT(ADDRESS(ROW()+2,COLUMN())&amp;":"&amp;ADDRESS(ROW()+22,COLUMN()))),COLUMN(),1)</f>
        <v>Params!$C$3:$C$6</v>
      </c>
    </row>
    <row r="2" spans="1:3" s="16" customFormat="1" x14ac:dyDescent="0.25">
      <c r="A2" s="16" t="s">
        <v>118</v>
      </c>
      <c r="B2" s="16" t="s">
        <v>200</v>
      </c>
      <c r="C2" s="16" t="s">
        <v>201</v>
      </c>
    </row>
    <row r="3" spans="1:3" x14ac:dyDescent="0.25">
      <c r="A3" t="s">
        <v>119</v>
      </c>
      <c r="B3">
        <v>128</v>
      </c>
      <c r="C3">
        <v>-127</v>
      </c>
    </row>
    <row r="4" spans="1:3" x14ac:dyDescent="0.25">
      <c r="A4" t="s">
        <v>120</v>
      </c>
      <c r="B4">
        <f>(2^16)/2</f>
        <v>32768</v>
      </c>
      <c r="C4">
        <f>-((2^16)/2)+1</f>
        <v>-32767</v>
      </c>
    </row>
    <row r="5" spans="1:3" x14ac:dyDescent="0.25">
      <c r="A5" t="s">
        <v>121</v>
      </c>
      <c r="B5">
        <f>(2^32)/2</f>
        <v>2147483648</v>
      </c>
      <c r="C5">
        <f>-((2^32)/2)+1</f>
        <v>-2147483647</v>
      </c>
    </row>
    <row r="6" spans="1:3" x14ac:dyDescent="0.25">
      <c r="A6" t="s">
        <v>122</v>
      </c>
      <c r="B6">
        <f>(2^64)/2</f>
        <v>9.2233720368547758E+18</v>
      </c>
      <c r="C6">
        <f>-((2^64)/2)+1</f>
        <v>-9.2233720368547758E+18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 POJO</vt:lpstr>
      <vt:lpstr>Jackson POJO</vt:lpstr>
      <vt:lpstr>.class to POJO</vt:lpstr>
      <vt:lpstr>Bean graph</vt:lpstr>
      <vt:lpstr>Some stuff to Java</vt:lpstr>
      <vt:lpstr>WIP - Copy to Java</vt:lpstr>
      <vt:lpstr>WIP - Copy to XSD (BS)</vt:lpstr>
      <vt:lpstr>Params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2016-05-27T13:12:06Z</dcterms:modified>
</cp:coreProperties>
</file>