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ignaa\Desktop\Dev\desarrollo\calculadoraaga\"/>
    </mc:Choice>
  </mc:AlternateContent>
  <xr:revisionPtr revIDLastSave="0" documentId="13_ncr:1_{C8FF3527-A576-41FF-9F8A-D224857C2C3F}" xr6:coauthVersionLast="47" xr6:coauthVersionMax="47" xr10:uidLastSave="{00000000-0000-0000-0000-000000000000}"/>
  <workbookProtection workbookPassword="C897" lockStructure="1"/>
  <bookViews>
    <workbookView xWindow="-96" yWindow="0" windowWidth="11712" windowHeight="13776" tabRatio="599" xr2:uid="{00000000-000D-0000-FFFF-FFFF00000000}"/>
  </bookViews>
  <sheets>
    <sheet name="MEDGAS1" sheetId="1" r:id="rId1"/>
    <sheet name="Fpv" sheetId="2" r:id="rId2"/>
  </sheets>
  <definedNames>
    <definedName name="_xlnm.Print_Area" localSheetId="1">Fpv!$G$64:$AM$100</definedName>
    <definedName name="_xlnm.Print_Area" localSheetId="0">MEDGAS1!$A$1:$K$50</definedName>
    <definedName name="_xlnm.Database">MEDGAS1!#REF!</definedName>
    <definedName name="_xlnm.Criteria">MEDGAS1!$D$222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" l="1"/>
  <c r="R35" i="1" s="1"/>
  <c r="R11" i="1"/>
  <c r="R10" i="1"/>
  <c r="R22" i="1"/>
  <c r="R26" i="1"/>
  <c r="R24" i="1"/>
  <c r="R9" i="1"/>
  <c r="R32" i="1"/>
  <c r="J33" i="1"/>
  <c r="J31" i="1"/>
  <c r="J37" i="1" s="1"/>
  <c r="D20" i="1"/>
  <c r="N11" i="1" s="1"/>
  <c r="D21" i="1"/>
  <c r="M12" i="1" s="1"/>
  <c r="D22" i="1"/>
  <c r="L13" i="1" s="1"/>
  <c r="D23" i="1"/>
  <c r="N14" i="1" s="1"/>
  <c r="D24" i="1"/>
  <c r="M15" i="1" s="1"/>
  <c r="D25" i="1"/>
  <c r="M16" i="1" s="1"/>
  <c r="D26" i="1"/>
  <c r="L17" i="1" s="1"/>
  <c r="D27" i="1"/>
  <c r="M18" i="1" s="1"/>
  <c r="D28" i="1"/>
  <c r="N19" i="1" s="1"/>
  <c r="M67" i="2"/>
  <c r="I4" i="2"/>
  <c r="J4" i="2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A8" i="2"/>
  <c r="A11" i="2"/>
  <c r="A14" i="2" s="1"/>
  <c r="A17" i="2" s="1"/>
  <c r="A21" i="2" s="1"/>
  <c r="A26" i="2" s="1"/>
  <c r="A31" i="2" s="1"/>
  <c r="A36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60" i="2" s="1"/>
  <c r="G34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D29" i="1"/>
  <c r="D19" i="1"/>
  <c r="J12" i="1" s="1"/>
  <c r="J20" i="1" s="1"/>
  <c r="J39" i="1"/>
  <c r="J41" i="1" s="1"/>
  <c r="J22" i="1" s="1"/>
  <c r="R7" i="1"/>
  <c r="R12" i="1"/>
  <c r="R14" i="1" s="1"/>
  <c r="R8" i="1"/>
  <c r="P10" i="1"/>
  <c r="P15" i="1" s="1"/>
  <c r="G31" i="1"/>
  <c r="R33" i="1" s="1"/>
  <c r="G33" i="1"/>
  <c r="C205" i="1"/>
  <c r="C226" i="1" s="1"/>
  <c r="C224" i="1"/>
  <c r="J35" i="1" l="1"/>
  <c r="M68" i="2" s="1"/>
  <c r="R18" i="1"/>
  <c r="J28" i="1"/>
  <c r="P16" i="1"/>
  <c r="P21" i="1"/>
  <c r="L16" i="1"/>
  <c r="M6" i="1"/>
  <c r="R13" i="1"/>
  <c r="R16" i="1" s="1"/>
  <c r="M14" i="1"/>
  <c r="M19" i="1"/>
  <c r="M13" i="1"/>
  <c r="N15" i="1"/>
  <c r="L15" i="1"/>
  <c r="N18" i="1"/>
  <c r="M17" i="1"/>
  <c r="N13" i="1"/>
  <c r="L11" i="1"/>
  <c r="L18" i="1"/>
  <c r="L19" i="1"/>
  <c r="M11" i="1"/>
  <c r="N16" i="1"/>
  <c r="P11" i="1"/>
  <c r="N12" i="1"/>
  <c r="L14" i="1"/>
  <c r="L12" i="1"/>
  <c r="I68" i="2"/>
  <c r="I71" i="2" s="1"/>
  <c r="L71" i="2" s="1"/>
  <c r="L75" i="2" s="1"/>
  <c r="P12" i="1"/>
  <c r="I67" i="2"/>
  <c r="I70" i="2" s="1"/>
  <c r="N17" i="1"/>
  <c r="L70" i="2" l="1"/>
  <c r="L73" i="2" s="1"/>
  <c r="O91" i="2" s="1"/>
  <c r="M5" i="1"/>
  <c r="R20" i="1"/>
  <c r="J18" i="1" s="1"/>
  <c r="W7" i="1"/>
  <c r="W9" i="1" s="1"/>
  <c r="J16" i="1" s="1"/>
  <c r="M20" i="1"/>
  <c r="P13" i="1" s="1"/>
  <c r="O5" i="1" s="1"/>
  <c r="P9" i="1" s="1"/>
  <c r="P17" i="1" s="1"/>
  <c r="L20" i="1"/>
  <c r="P14" i="1" s="1"/>
  <c r="P85" i="2"/>
  <c r="P89" i="2"/>
  <c r="P87" i="2"/>
  <c r="P77" i="2"/>
  <c r="O83" i="2"/>
  <c r="AC70" i="2" l="1"/>
  <c r="G97" i="2" s="1"/>
  <c r="AM82" i="2"/>
  <c r="J97" i="2" s="1"/>
  <c r="AA74" i="2"/>
  <c r="H97" i="2" s="1"/>
  <c r="AK78" i="2"/>
  <c r="I97" i="2" s="1"/>
  <c r="P18" i="1"/>
  <c r="P19" i="1" s="1"/>
  <c r="P20" i="1" s="1"/>
  <c r="O21" i="1" s="1"/>
  <c r="M93" i="2"/>
  <c r="S86" i="2" s="1"/>
  <c r="K97" i="2" s="1"/>
  <c r="P79" i="2"/>
  <c r="X64" i="2" l="1"/>
  <c r="S94" i="2"/>
  <c r="S98" i="2" s="1"/>
  <c r="N97" i="2" s="1"/>
  <c r="S90" i="2"/>
  <c r="L97" i="2" s="1"/>
  <c r="L81" i="2"/>
  <c r="U66" i="2" l="1"/>
  <c r="M97" i="2"/>
  <c r="W68" i="2"/>
  <c r="D48" i="1" l="1"/>
  <c r="D34" i="1" s="1"/>
  <c r="J24" i="1"/>
  <c r="D31" i="1" l="1"/>
  <c r="D37" i="1"/>
  <c r="F37" i="1" s="1"/>
</calcChain>
</file>

<file path=xl/sharedStrings.xml><?xml version="1.0" encoding="utf-8"?>
<sst xmlns="http://schemas.openxmlformats.org/spreadsheetml/2006/main" count="338" uniqueCount="276">
  <si>
    <t xml:space="preserve">CÁLCULO  DEL  CAUDAL  DE  GAS  </t>
  </si>
  <si>
    <t xml:space="preserve">             CROMATOGRAFIA   DEL GAS   ---------------------&gt; </t>
  </si>
  <si>
    <t>COLUMNA</t>
  </si>
  <si>
    <t>beta=d / D</t>
  </si>
  <si>
    <t>K (flange)</t>
  </si>
  <si>
    <t xml:space="preserve">             NOMBRE DEL PUENTE DE MEDICION------&gt;</t>
  </si>
  <si>
    <t xml:space="preserve">                 FECHA DEL CÁLCULO:   </t>
  </si>
  <si>
    <t xml:space="preserve">              </t>
  </si>
  <si>
    <t>D=</t>
  </si>
  <si>
    <t>X=</t>
  </si>
  <si>
    <t>A- INFORMACIÓN REQUERIDA</t>
  </si>
  <si>
    <t xml:space="preserve">                 FECHA DEL GRÁFICO: </t>
  </si>
  <si>
    <t>d=</t>
  </si>
  <si>
    <t xml:space="preserve">                            k=Relac. calor esp.=</t>
  </si>
  <si>
    <t>p=</t>
  </si>
  <si>
    <t>beta=d / D =</t>
  </si>
  <si>
    <t>Y=</t>
  </si>
  <si>
    <t>t=</t>
  </si>
  <si>
    <t>B=</t>
  </si>
  <si>
    <t>PLUMA  AZUL, ( presión absoluta )=</t>
  </si>
  <si>
    <t xml:space="preserve">  &lt;----Lectura en la gráfica, de 0 a 100%de la escala</t>
  </si>
  <si>
    <t>Kp=</t>
  </si>
  <si>
    <t>E=</t>
  </si>
  <si>
    <t>PLUMA ROJA , ( pulgadas de agua )=</t>
  </si>
  <si>
    <t>Graved.=</t>
  </si>
  <si>
    <t>Kt=</t>
  </si>
  <si>
    <t>Rango Difer.=</t>
  </si>
  <si>
    <t>Fp=</t>
  </si>
  <si>
    <t>Rando Esta.=</t>
  </si>
  <si>
    <t>FACT. DE CORRECIONES</t>
  </si>
  <si>
    <t>Ft=</t>
  </si>
  <si>
    <t>Hw=</t>
  </si>
  <si>
    <t>MEDIDOR - Rango de la estática, (Kg/cm2)=</t>
  </si>
  <si>
    <t>m=</t>
  </si>
  <si>
    <t>MEDIDOR - Rango de la diferencial, (pulg. c.a.)=</t>
  </si>
  <si>
    <t>n=</t>
  </si>
  <si>
    <t>Pf en lpca =</t>
  </si>
  <si>
    <t>TEMPERATURA,  ( grados centígrados )=</t>
  </si>
  <si>
    <t>Fr =</t>
  </si>
  <si>
    <t>K=</t>
  </si>
  <si>
    <t>BAT.</t>
  </si>
  <si>
    <t xml:space="preserve">                                    GRAVEDAD DEL GAS, ( aire=1.00 )=</t>
  </si>
  <si>
    <t>&lt;----ingrese valores de cromatografía</t>
  </si>
  <si>
    <t>b=</t>
  </si>
  <si>
    <t>GRAV.DEL GAS, ( aire=1.00 )=</t>
  </si>
  <si>
    <t>%CO2=</t>
  </si>
  <si>
    <t>Fg=</t>
  </si>
  <si>
    <t>b=E/(12835dK)</t>
  </si>
  <si>
    <t>%NI=</t>
  </si>
  <si>
    <t>%metano=</t>
  </si>
  <si>
    <t>Ftf=</t>
  </si>
  <si>
    <t>%etano=</t>
  </si>
  <si>
    <t xml:space="preserve">  </t>
  </si>
  <si>
    <t>%propano=</t>
  </si>
  <si>
    <t>Fpv=</t>
  </si>
  <si>
    <t xml:space="preserve"> </t>
  </si>
  <si>
    <t>%i-butano=</t>
  </si>
  <si>
    <t>%n-butano=</t>
  </si>
  <si>
    <t>%i-pentano=</t>
  </si>
  <si>
    <t>%n-pentano=</t>
  </si>
  <si>
    <t>Fb(PC/H)=</t>
  </si>
  <si>
    <t>%n-exano=</t>
  </si>
  <si>
    <t>%n-hex.y sup</t>
  </si>
  <si>
    <t>P.C.S.(kcal/m3)</t>
  </si>
  <si>
    <t xml:space="preserve">CAUDAL DE GAS  </t>
  </si>
  <si>
    <t xml:space="preserve">  M3 / H</t>
  </si>
  <si>
    <t xml:space="preserve">D.I. Puente </t>
  </si>
  <si>
    <t xml:space="preserve">       Rango de Presión</t>
  </si>
  <si>
    <t>FECHA ULTIMA CROMAT.</t>
  </si>
  <si>
    <t># de fila =</t>
  </si>
  <si>
    <t>D.I. Placa</t>
  </si>
  <si>
    <t>Rango de la Diferencial</t>
  </si>
  <si>
    <t>Fb=</t>
  </si>
  <si>
    <t>TOTAL [ % ]</t>
  </si>
  <si>
    <t>CAUDAL DE GAS =</t>
  </si>
  <si>
    <t xml:space="preserve">  M3 / DIA</t>
  </si>
  <si>
    <t xml:space="preserve">          b</t>
  </si>
  <si>
    <t>Pres. manom. en Kg/cm2</t>
  </si>
  <si>
    <t>C'(hora)=</t>
  </si>
  <si>
    <t xml:space="preserve">  MPC/D</t>
  </si>
  <si>
    <t xml:space="preserve">  MMPC/D</t>
  </si>
  <si>
    <t>Pres. lpcm</t>
  </si>
  <si>
    <t>Temp.  °C.</t>
  </si>
  <si>
    <t>Temp.  °F.</t>
  </si>
  <si>
    <t>DATOS INTERNOS DE CONSTANTES Y CÁLCULOS</t>
  </si>
  <si>
    <t xml:space="preserve">Fb--&gt;Tabla  ;  Fpb=1  ( Pres. base de 14.73 lpca ) ; Ftb=1   ( Temp. base de 60° F. )  ;  Fg=(1/Gr. Esp.)^1/2  ;  Ftf=(520/(460+°F.))^1/2    </t>
  </si>
  <si>
    <t>Fr=1+b/(Pres.abs.*Dif.)1/2...b&lt;--Tablas  ;  Y=Tablas &lt;--Función de (D.I.placa/D.I.carr. y  Dif./Pres.)</t>
  </si>
  <si>
    <t>Fpv=Fue corregido según el % de CO2 de acuerdo a la AMERICAN GAS ASSOCIATION, y en función de la Temp. y Pres.  ;  M=.01*(Rango Pres. * Rango Dif.)^1/2</t>
  </si>
  <si>
    <t>K=Fb(m3/d)*Factor del medidor*Fact. de correciones=</t>
  </si>
  <si>
    <t xml:space="preserve"> Caudal en m3/d = K * (Pluma azul  *  Pluma roja )^.5</t>
  </si>
  <si>
    <t>NOTA : MEDIDOR GRADUADO  EN  Kg/cm2  ABSOLUTAS  Y  EN  PULGADAS  DE AGUA</t>
  </si>
  <si>
    <t>Elaborado por SCIENTIFIC SOFTWARE-INTERCOMP</t>
  </si>
  <si>
    <t>PHC</t>
  </si>
  <si>
    <t>Rincón de los Sauces,  Abril de 1995</t>
  </si>
  <si>
    <t>Modificado por  "INSTRUMENTOS R.D.L.S.", Para valores de "G"&gt;1,  C/ Corrección</t>
  </si>
  <si>
    <t xml:space="preserve">Automática del Fpv.-                           </t>
  </si>
  <si>
    <t xml:space="preserve">   Rincón de los Sauces, Setiembre de 1.995.-    (Jaal)</t>
  </si>
  <si>
    <t xml:space="preserve">           PLACA</t>
  </si>
  <si>
    <t xml:space="preserve">                # DE FILA</t>
  </si>
  <si>
    <t>Caudal en</t>
  </si>
  <si>
    <t xml:space="preserve"> #-del Medidor</t>
  </si>
  <si>
    <t xml:space="preserve"> Utilidad del Gas</t>
  </si>
  <si>
    <t>1000 M3/D</t>
  </si>
  <si>
    <t>COMENTARIOS</t>
  </si>
  <si>
    <t>BAT-0101</t>
  </si>
  <si>
    <t>GAS TOTAL DE BAT-1(Chi.)</t>
  </si>
  <si>
    <t>BAT-0201</t>
  </si>
  <si>
    <t>GAS TOTAL DE BAT-2(Chi.)</t>
  </si>
  <si>
    <t>BAT-02S1</t>
  </si>
  <si>
    <t>GAS TOTAL DE S-1 DE BAT-2(Chi.)</t>
  </si>
  <si>
    <t>BAT-0301</t>
  </si>
  <si>
    <t>GAS TOTAL DE BAT-3(Chi.)</t>
  </si>
  <si>
    <t>BAT-0401</t>
  </si>
  <si>
    <t>GAS TOTAL DE BAT-4(Chi.)</t>
  </si>
  <si>
    <t>BAT-04S1</t>
  </si>
  <si>
    <t>GAS TOTAL DE S-1 DE BAT-4(Chi.)</t>
  </si>
  <si>
    <t>BAT-0501</t>
  </si>
  <si>
    <t>GAS TOTAL DE BAT-5 Med. 1(Chi.)</t>
  </si>
  <si>
    <t>BAT-0502</t>
  </si>
  <si>
    <t>GAS TOTAL DE BAT-5 Med. 2(Chi.)</t>
  </si>
  <si>
    <t>BAT-0701</t>
  </si>
  <si>
    <t>GAS TOTAL DE BAT-7(Chi.)</t>
  </si>
  <si>
    <t>BAT-0801</t>
  </si>
  <si>
    <t>GAS TOTAL DE BAT-8(Chi.)</t>
  </si>
  <si>
    <t>BAT-0901</t>
  </si>
  <si>
    <t>GAS TOTAL DE BAT-9(Chi.)</t>
  </si>
  <si>
    <t>BAT-1001</t>
  </si>
  <si>
    <t>GAS TOTAL DE BAT-10(Chi.)</t>
  </si>
  <si>
    <t xml:space="preserve">TOTAL    </t>
  </si>
  <si>
    <t>BAT-0601</t>
  </si>
  <si>
    <t>GAS TOTAL DE BAT-6(Lom.)</t>
  </si>
  <si>
    <t>BAT-1101</t>
  </si>
  <si>
    <t>GAS TOTAL DE BAT-11(Lom.)</t>
  </si>
  <si>
    <t>BAT-1201</t>
  </si>
  <si>
    <t>GAS TOTAL DE BAT-12 Med. Princ.(Lom.)</t>
  </si>
  <si>
    <t>BAT-1202</t>
  </si>
  <si>
    <t>GAS TOTAL DE BAT-12 Med. Secd.(Lom.)</t>
  </si>
  <si>
    <t>BAT-1301</t>
  </si>
  <si>
    <t>GAS TOTAL DE BAT-13(Lom.)</t>
  </si>
  <si>
    <t>BAT-1401</t>
  </si>
  <si>
    <t>GAS TOTAL DE BAT-14(Lom.)</t>
  </si>
  <si>
    <t>BAT-1501</t>
  </si>
  <si>
    <t>GAS TOTAL DE BAT-15(Lom.)</t>
  </si>
  <si>
    <t>BAT-1601</t>
  </si>
  <si>
    <t>GAS TOTAL DE BAT-16(Lom.)</t>
  </si>
  <si>
    <t>BAT-16S1</t>
  </si>
  <si>
    <t>GAS TOTAL DE BAT-16 Sat. 1(Lom.)</t>
  </si>
  <si>
    <t>BUSCAR DISCO</t>
  </si>
  <si>
    <t>BAT-1701</t>
  </si>
  <si>
    <t>GAS TOTAL DE BAT-17(Lom.)</t>
  </si>
  <si>
    <t>BAT-1801</t>
  </si>
  <si>
    <t>GAS TOTAL DE BAT-18(Lom.)</t>
  </si>
  <si>
    <t>BAT-1901</t>
  </si>
  <si>
    <t>GAS TOTAL DE BAT-19(Lom.)No Inst.</t>
  </si>
  <si>
    <t>EN CONSTRUCCION</t>
  </si>
  <si>
    <t>BAT-2001</t>
  </si>
  <si>
    <t>GAS TOTAL DE BAT-20(Lom.)No Inst.</t>
  </si>
  <si>
    <t>MODIFICANDO</t>
  </si>
  <si>
    <t>BAT-2101</t>
  </si>
  <si>
    <t>GAS TOTAL DE BAT-21(Lom.)</t>
  </si>
  <si>
    <t>BAT-2201</t>
  </si>
  <si>
    <t>GAS TOTAL DE BAT-22(Lom.)</t>
  </si>
  <si>
    <t>BAT-2301</t>
  </si>
  <si>
    <t>GAS TOTAL DE BAT-23(Lom.)</t>
  </si>
  <si>
    <t>BAT-2401</t>
  </si>
  <si>
    <t>GAS TOTAL DE BAT-24(Lom.)</t>
  </si>
  <si>
    <t>GRAN  TOTAL</t>
  </si>
  <si>
    <t xml:space="preserve">   MILES DE M3 / DIARIOS</t>
  </si>
  <si>
    <r>
      <t xml:space="preserve">Factor </t>
    </r>
    <r>
      <rPr>
        <b/>
        <i/>
        <sz val="10"/>
        <rFont val="MS Sans Serif"/>
      </rPr>
      <t>E</t>
    </r>
    <r>
      <rPr>
        <b/>
        <sz val="10"/>
        <rFont val="MS Sans Serif"/>
      </rPr>
      <t xml:space="preserve"> para calculo de factor de compresibilidad en funcion de P y T ajustadas (interpolación lineal)</t>
    </r>
  </si>
  <si>
    <t>psig/°F</t>
  </si>
  <si>
    <t>Gas</t>
  </si>
  <si>
    <t>Pcrit.</t>
  </si>
  <si>
    <t>Tcrit.</t>
  </si>
  <si>
    <t>Ideal</t>
  </si>
  <si>
    <t>Tot.(btu/scf)</t>
  </si>
  <si>
    <t>Psc=Pi*Xi</t>
  </si>
  <si>
    <t>Fp=671.4/Pc</t>
  </si>
  <si>
    <t>Padj=P*Fp</t>
  </si>
  <si>
    <t>b = [(9*n-2*m*n^2)/(54*m*¶^3)] - [E/(2*m*¶^2)] =</t>
  </si>
  <si>
    <t>psia</t>
  </si>
  <si>
    <t>°R</t>
  </si>
  <si>
    <t>Sp.Gr.</t>
  </si>
  <si>
    <t>heating</t>
  </si>
  <si>
    <t>Tsc=Ti*Xi</t>
  </si>
  <si>
    <t>Ft=359.46/Tc</t>
  </si>
  <si>
    <t>Tadj=[(t+460)*Ft]-460</t>
  </si>
  <si>
    <t>C1</t>
  </si>
  <si>
    <t>D=[b+(b^2+B^3)^.5]^.3333=</t>
  </si>
  <si>
    <t>C2</t>
  </si>
  <si>
    <t>Psc=</t>
  </si>
  <si>
    <t>T=</t>
  </si>
  <si>
    <t>°F</t>
  </si>
  <si>
    <t>C3</t>
  </si>
  <si>
    <t>Tsc=</t>
  </si>
  <si>
    <t>P=</t>
  </si>
  <si>
    <t>Fpv=[B/D-D+n/3*¶]^.5/[1+(0.00132/µ^3.25)]=</t>
  </si>
  <si>
    <t>iC4</t>
  </si>
  <si>
    <t>nC4</t>
  </si>
  <si>
    <t>===&gt;</t>
  </si>
  <si>
    <t>Padj=</t>
  </si>
  <si>
    <t>psig</t>
  </si>
  <si>
    <t>E1=1-0.00075*(¶)^2.3*e^-(20*(µ-1.09)) - 0.0011*(µ-1.09)^0.5*(¶)^2*(2.17+1.4*(µ-1.09)^.5-¶)^2=</t>
  </si>
  <si>
    <t>iC5</t>
  </si>
  <si>
    <t>Tadj=</t>
  </si>
  <si>
    <t>0&lt;=¶&lt;=2</t>
  </si>
  <si>
    <t>0&lt;=P&lt;=2000 psia</t>
  </si>
  <si>
    <t>nC5</t>
  </si>
  <si>
    <t>1.09&lt;=µ&lt;=1.4</t>
  </si>
  <si>
    <t>85°F&lt;=t&lt;=240°F</t>
  </si>
  <si>
    <t>nC6</t>
  </si>
  <si>
    <t>¶=</t>
  </si>
  <si>
    <t>(Padj+14.7)/1000=</t>
  </si>
  <si>
    <t>nC7</t>
  </si>
  <si>
    <t>E2=1-0.00075*(¶)^2.3*(2-e^-(20*(1.09-µ)) - 1.317*(1.09-µ)^4*¶*(1.69-¶^2)=</t>
  </si>
  <si>
    <t>nC8</t>
  </si>
  <si>
    <t>µ=</t>
  </si>
  <si>
    <t>(Tadj+460)/500=</t>
  </si>
  <si>
    <t>0&lt;=¶&lt;=1.3</t>
  </si>
  <si>
    <t>0&lt;=P&lt;=1300 psia</t>
  </si>
  <si>
    <t>CO2</t>
  </si>
  <si>
    <t>0.84&lt;=µ&lt;=1.09</t>
  </si>
  <si>
    <t>-40°F&lt;=t&lt;=85°F</t>
  </si>
  <si>
    <t>N</t>
  </si>
  <si>
    <t>m=0.033.378*(µ)^-2 - 0.0221323*(µ)^-3 + 0.0161353*(µ)^-5=</t>
  </si>
  <si>
    <t>Air</t>
  </si>
  <si>
    <t>E3=1-0.00075*¶^2.3*(2-e^-(20*(1.09-µ)))+0.455*(200*(1.09-µ)^6-0.03249*(1.09-µ)+2.0167*(1.09-µ)^2-18.028*(1.09-µ)^3+42.844*(1.09-µ)^4)*(¶-1.3)*(1.69*2^1.25-¶^2)=</t>
  </si>
  <si>
    <t>O</t>
  </si>
  <si>
    <t>n=(0.265827*(µ)^-2 +0.0457697*(µ)^-4 -0.133185*(µ)^-1)/m=</t>
  </si>
  <si>
    <t>1.3&lt;=¶&lt;=2</t>
  </si>
  <si>
    <t>1300&lt;=P&lt;=2000 psia</t>
  </si>
  <si>
    <t>Helium</t>
  </si>
  <si>
    <t>0.88&lt;=µ&lt;=1.09</t>
  </si>
  <si>
    <t>-20°F&lt;=t&lt;=85°F</t>
  </si>
  <si>
    <t>H</t>
  </si>
  <si>
    <t>B = (3-m*n^2) / (9*m*¶^2) =</t>
  </si>
  <si>
    <t>SH2</t>
  </si>
  <si>
    <t>E4=1-0.00075*¶^2.3*(2-e^-(20*(1.09-µ)))+0.455*(200*(1.09-µ)^6-0.03249*(1.09-µ)+2.0167*(1.09-µ)^2-18.028*(1.09-µ)^3+42.844*(1.09-µ)^4)*(¶-1.3)*(1.69*2^(1.25+80*(0.88-µ^2))-¶^2)=</t>
  </si>
  <si>
    <t>A=1.71720-2.33123*µ-1.56796*µ^2+3.47644*µ^3-1.28603*µ^4=</t>
  </si>
  <si>
    <t>0.84&lt;=µ&lt;=0.88</t>
  </si>
  <si>
    <t>-40°F&lt;=t&lt;=-20°F</t>
  </si>
  <si>
    <t>A1=0.016299*-0.028094*µ+0.48782*µ^2-0.728221*µ^3+0.27839*µ^4=</t>
  </si>
  <si>
    <t>E5a=E4-Y=</t>
  </si>
  <si>
    <t>(+)</t>
  </si>
  <si>
    <t>A2=-0.35978+0.51419*µ+0.16453*µ^2-0.52216*µ^3+0.19687*µ^4=</t>
  </si>
  <si>
    <t>A3=0.075255-0.10573*µ-0.058598*µ^2+0.14416*µ^3-0.054533*µ^4=</t>
  </si>
  <si>
    <t>E5b=E3-Y=</t>
  </si>
  <si>
    <t>(+)===&gt;¶=2</t>
  </si>
  <si>
    <t>U=(µ-1.32)^2*(¶-2)*(3-1.483*(¶-2)-0.1*(¶-2)^2+0.0833*(¶-2)^3)=</t>
  </si>
  <si>
    <t>2&lt;=¶&lt;=5</t>
  </si>
  <si>
    <t>2000&lt;=P&lt;=5000 psia</t>
  </si>
  <si>
    <t>Y=A*(¶-2)+A1*(¶-2)^2+A2*(¶-2)^3+A3*(¶-2)^4=</t>
  </si>
  <si>
    <t>E5c=E1-Y=</t>
  </si>
  <si>
    <t>E1</t>
  </si>
  <si>
    <t>E2</t>
  </si>
  <si>
    <t>E3</t>
  </si>
  <si>
    <t>E4</t>
  </si>
  <si>
    <t>E5a</t>
  </si>
  <si>
    <t>E5b</t>
  </si>
  <si>
    <t>E5c</t>
  </si>
  <si>
    <t>E6</t>
  </si>
  <si>
    <t>1.09&lt;=µ&lt;=1.32</t>
  </si>
  <si>
    <t>85°F&lt;=t&lt;=200°F</t>
  </si>
  <si>
    <t>E6=E5c-U=</t>
  </si>
  <si>
    <t>1.32&lt;=µ&lt;=1.4</t>
  </si>
  <si>
    <t>200°F&lt;=t&lt;=240°F</t>
  </si>
  <si>
    <t>PM08</t>
  </si>
  <si>
    <t>C85</t>
  </si>
  <si>
    <t>C109</t>
  </si>
  <si>
    <t>MEDGAS</t>
  </si>
  <si>
    <t>CROMATOGRAFIAS</t>
  </si>
  <si>
    <t>COLUMNAS</t>
  </si>
  <si>
    <t xml:space="preserve">COMPLETAR  SOLO CELDAS  EN </t>
  </si>
  <si>
    <t>Ø d</t>
  </si>
  <si>
    <t>Ø D</t>
  </si>
  <si>
    <r>
      <t xml:space="preserve">Ø DE LA PLACA (en pulg.) ( Ej; 0,750  ,  2,000 )= </t>
    </r>
    <r>
      <rPr>
        <b/>
        <sz val="16"/>
        <color theme="1"/>
        <rFont val="Calibri"/>
        <family val="2"/>
        <scheme val="minor"/>
      </rPr>
      <t>d</t>
    </r>
  </si>
  <si>
    <r>
      <t>DIA. DEL PUENTE(en pulg.) ( Ej; 6,065 para Batería )  =</t>
    </r>
    <r>
      <rPr>
        <b/>
        <sz val="16"/>
        <color theme="1"/>
        <rFont val="Calibri"/>
        <family val="2"/>
        <scheme val="minor"/>
      </rPr>
      <t xml:space="preserve"> 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</si>
</sst>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55">
    <font>
      <sz val="10"/>
      <name val="MS Sans Serif"/>
    </font>
    <font>
      <b/>
      <sz val="10"/>
      <name val="MS Sans Serif"/>
    </font>
    <font>
      <b/>
      <i/>
      <sz val="10"/>
      <name val="MS Sans Serif"/>
    </font>
    <font>
      <sz val="10"/>
      <name val="MS Sans Serif"/>
    </font>
    <font>
      <b/>
      <sz val="12"/>
      <name val="MS Sans Serif"/>
    </font>
    <font>
      <sz val="8"/>
      <name val="MS Sans Serif"/>
    </font>
    <font>
      <sz val="12"/>
      <name val="MS Sans Serif"/>
    </font>
    <font>
      <sz val="10"/>
      <color indexed="10"/>
      <name val="MS Sans Serif"/>
      <family val="2"/>
    </font>
    <font>
      <b/>
      <sz val="10"/>
      <color indexed="10"/>
      <name val="MS Sans Serif"/>
    </font>
    <font>
      <b/>
      <sz val="10"/>
      <color indexed="10"/>
      <name val="MS Sans Serif"/>
      <family val="2"/>
    </font>
    <font>
      <sz val="10"/>
      <color indexed="12"/>
      <name val="MS Sans Serif"/>
      <family val="2"/>
    </font>
    <font>
      <sz val="7"/>
      <name val="MS Sans Serif"/>
      <family val="2"/>
    </font>
    <font>
      <b/>
      <sz val="10"/>
      <color indexed="12"/>
      <name val="MS Sans Serif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MS Sans Serif"/>
      <family val="2"/>
    </font>
    <font>
      <sz val="10"/>
      <color theme="1"/>
      <name val="MS Sans Serif"/>
    </font>
    <font>
      <b/>
      <sz val="36"/>
      <color theme="1"/>
      <name val="Arial Black"/>
      <family val="2"/>
    </font>
    <font>
      <b/>
      <u/>
      <sz val="20"/>
      <color theme="1"/>
      <name val="Calibri"/>
      <family val="2"/>
      <scheme val="minor"/>
    </font>
    <font>
      <b/>
      <sz val="15"/>
      <color theme="1"/>
      <name val="MS Sans Serif"/>
    </font>
    <font>
      <b/>
      <sz val="10"/>
      <color theme="1"/>
      <name val="MS Sans Serif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MS Sans Serif"/>
    </font>
    <font>
      <b/>
      <sz val="8"/>
      <color theme="1"/>
      <name val="DIN"/>
    </font>
    <font>
      <b/>
      <sz val="10"/>
      <color theme="1"/>
      <name val="DIN"/>
    </font>
    <font>
      <sz val="8"/>
      <color theme="1"/>
      <name val="Arial"/>
      <family val="2"/>
    </font>
    <font>
      <sz val="8"/>
      <color theme="1"/>
      <name val="Arial"/>
    </font>
    <font>
      <b/>
      <sz val="8"/>
      <color theme="1"/>
      <name val="Arial"/>
      <family val="2"/>
    </font>
    <font>
      <b/>
      <sz val="12"/>
      <color theme="1"/>
      <name val="MS Sans Serif"/>
    </font>
    <font>
      <b/>
      <sz val="8"/>
      <color theme="1"/>
      <name val="Symbol"/>
      <family val="1"/>
      <charset val="2"/>
    </font>
    <font>
      <b/>
      <sz val="11"/>
      <color theme="1"/>
      <name val="Arial"/>
      <family val="2"/>
    </font>
    <font>
      <sz val="10"/>
      <color theme="1"/>
      <name val="DIN"/>
    </font>
    <font>
      <sz val="8"/>
      <color theme="1"/>
      <name val="DIN"/>
    </font>
    <font>
      <sz val="14"/>
      <color theme="1"/>
      <name val="Arial Black"/>
      <family val="2"/>
    </font>
    <font>
      <sz val="8"/>
      <color theme="1"/>
      <name val="MS Sans Serif"/>
    </font>
    <font>
      <sz val="16"/>
      <color theme="1"/>
      <name val="Arial Black"/>
      <family val="2"/>
    </font>
    <font>
      <b/>
      <sz val="8"/>
      <color theme="1"/>
      <name val="MS Sans Serif"/>
    </font>
    <font>
      <b/>
      <sz val="10"/>
      <color theme="1"/>
      <name val="Arial"/>
    </font>
    <font>
      <sz val="9"/>
      <color theme="1"/>
      <name val="MS Serif"/>
    </font>
    <font>
      <b/>
      <sz val="14"/>
      <color theme="1"/>
      <name val="MS Sans Serif"/>
    </font>
    <font>
      <b/>
      <sz val="14"/>
      <color theme="1"/>
      <name val="Arial"/>
      <family val="2"/>
    </font>
    <font>
      <sz val="10"/>
      <color theme="1"/>
      <name val="MS Serif"/>
    </font>
    <font>
      <b/>
      <sz val="9"/>
      <color theme="1"/>
      <name val="MS Serif"/>
    </font>
    <font>
      <sz val="8.5"/>
      <color theme="1"/>
      <name val="MS Sans Serif"/>
      <family val="2"/>
    </font>
    <font>
      <sz val="10"/>
      <color theme="1"/>
      <name val="Arial"/>
      <family val="2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MS Sans Serif"/>
      <family val="2"/>
    </font>
    <font>
      <b/>
      <sz val="16"/>
      <color theme="1"/>
      <name val="Arial"/>
      <family val="2"/>
    </font>
    <font>
      <b/>
      <sz val="16"/>
      <color theme="1"/>
      <name val="Arial Rounded MT Bold"/>
      <family val="2"/>
    </font>
    <font>
      <b/>
      <sz val="14"/>
      <color theme="1"/>
      <name val="Symbol"/>
      <family val="1"/>
      <charset val="2"/>
    </font>
    <font>
      <b/>
      <sz val="8.5"/>
      <color theme="1"/>
      <name val="MS Sans Serif"/>
      <family val="2"/>
    </font>
    <font>
      <sz val="8.5"/>
      <color theme="1"/>
      <name val="MS Sans Serif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0" fontId="3" fillId="0" borderId="0" applyFont="0" applyFill="0" applyBorder="0" applyAlignment="0" applyProtection="0"/>
  </cellStyleXfs>
  <cellXfs count="336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6" fillId="2" borderId="0" xfId="0" applyFont="1" applyFill="1"/>
    <xf numFmtId="0" fontId="0" fillId="2" borderId="2" xfId="0" applyFill="1" applyBorder="1"/>
    <xf numFmtId="0" fontId="1" fillId="2" borderId="0" xfId="0" applyFont="1" applyFill="1"/>
    <xf numFmtId="0" fontId="5" fillId="2" borderId="0" xfId="0" applyFont="1" applyFill="1"/>
    <xf numFmtId="0" fontId="5" fillId="2" borderId="2" xfId="0" applyFont="1" applyFill="1" applyBorder="1"/>
    <xf numFmtId="1" fontId="4" fillId="2" borderId="2" xfId="0" applyNumberFormat="1" applyFont="1" applyFill="1" applyBorder="1"/>
    <xf numFmtId="164" fontId="1" fillId="2" borderId="0" xfId="0" applyNumberFormat="1" applyFont="1" applyFill="1"/>
    <xf numFmtId="0" fontId="5" fillId="2" borderId="15" xfId="0" applyFont="1" applyFill="1" applyBorder="1"/>
    <xf numFmtId="0" fontId="5" fillId="2" borderId="16" xfId="0" applyFont="1" applyFill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167" fontId="0" fillId="5" borderId="11" xfId="0" applyNumberFormat="1" applyFill="1" applyBorder="1" applyAlignment="1">
      <alignment horizontal="center"/>
    </xf>
    <xf numFmtId="167" fontId="0" fillId="5" borderId="18" xfId="0" applyNumberFormat="1" applyFill="1" applyBorder="1" applyAlignment="1">
      <alignment horizontal="center"/>
    </xf>
    <xf numFmtId="167" fontId="0" fillId="5" borderId="24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6" xfId="0" applyBorder="1" applyAlignment="1">
      <alignment horizontal="center"/>
    </xf>
    <xf numFmtId="0" fontId="1" fillId="0" borderId="36" xfId="0" applyFont="1" applyBorder="1" applyAlignment="1">
      <alignment horizontal="left"/>
    </xf>
    <xf numFmtId="167" fontId="9" fillId="0" borderId="0" xfId="0" applyNumberFormat="1" applyFont="1" applyAlignment="1">
      <alignment horizontal="left"/>
    </xf>
    <xf numFmtId="0" fontId="12" fillId="0" borderId="3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left"/>
    </xf>
    <xf numFmtId="166" fontId="8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167" fontId="9" fillId="0" borderId="24" xfId="0" applyNumberFormat="1" applyFont="1" applyBorder="1" applyAlignment="1">
      <alignment horizontal="center"/>
    </xf>
    <xf numFmtId="167" fontId="9" fillId="0" borderId="40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64" fontId="13" fillId="8" borderId="52" xfId="0" applyNumberFormat="1" applyFont="1" applyFill="1" applyBorder="1" applyAlignment="1">
      <alignment horizontal="center"/>
    </xf>
    <xf numFmtId="164" fontId="13" fillId="8" borderId="53" xfId="0" applyNumberFormat="1" applyFont="1" applyFill="1" applyBorder="1" applyAlignment="1">
      <alignment horizontal="center"/>
    </xf>
    <xf numFmtId="164" fontId="13" fillId="8" borderId="54" xfId="0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0" xfId="0" applyFont="1" applyFill="1" applyProtection="1">
      <protection hidden="1"/>
    </xf>
    <xf numFmtId="164" fontId="16" fillId="2" borderId="0" xfId="0" applyNumberFormat="1" applyFont="1" applyFill="1" applyProtection="1">
      <protection hidden="1"/>
    </xf>
    <xf numFmtId="0" fontId="19" fillId="2" borderId="58" xfId="0" quotePrefix="1" applyFont="1" applyFill="1" applyBorder="1" applyAlignment="1">
      <alignment horizontal="centerContinuous"/>
    </xf>
    <xf numFmtId="0" fontId="16" fillId="2" borderId="0" xfId="0" applyFont="1" applyFill="1" applyAlignment="1">
      <alignment horizontal="centerContinuous"/>
    </xf>
    <xf numFmtId="0" fontId="16" fillId="2" borderId="59" xfId="0" applyFont="1" applyFill="1" applyBorder="1"/>
    <xf numFmtId="0" fontId="20" fillId="2" borderId="58" xfId="0" quotePrefix="1" applyFont="1" applyFill="1" applyBorder="1" applyAlignment="1">
      <alignment horizontal="left"/>
    </xf>
    <xf numFmtId="0" fontId="20" fillId="2" borderId="0" xfId="0" applyFont="1" applyFill="1"/>
    <xf numFmtId="0" fontId="21" fillId="2" borderId="48" xfId="0" applyFont="1" applyFill="1" applyBorder="1" applyAlignment="1">
      <alignment horizontal="centerContinuous"/>
    </xf>
    <xf numFmtId="0" fontId="22" fillId="9" borderId="43" xfId="0" applyFont="1" applyFill="1" applyBorder="1" applyAlignment="1" applyProtection="1">
      <alignment horizontal="center"/>
      <protection locked="0"/>
    </xf>
    <xf numFmtId="164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23" fillId="2" borderId="0" xfId="0" applyFont="1" applyFill="1"/>
    <xf numFmtId="0" fontId="20" fillId="2" borderId="58" xfId="0" applyFont="1" applyFill="1" applyBorder="1"/>
    <xf numFmtId="0" fontId="16" fillId="2" borderId="0" xfId="0" applyFont="1" applyFill="1" applyProtection="1">
      <protection locked="0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 applyProtection="1">
      <alignment horizontal="centerContinuous"/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24" fillId="2" borderId="0" xfId="0" quotePrefix="1" applyFont="1" applyFill="1" applyAlignment="1">
      <alignment horizontal="left"/>
    </xf>
    <xf numFmtId="0" fontId="25" fillId="2" borderId="0" xfId="0" applyFont="1" applyFill="1" applyAlignment="1">
      <alignment horizontal="right"/>
    </xf>
    <xf numFmtId="15" fontId="15" fillId="9" borderId="1" xfId="0" applyNumberFormat="1" applyFont="1" applyFill="1" applyBorder="1" applyAlignment="1" applyProtection="1">
      <alignment horizontal="center"/>
      <protection locked="0"/>
    </xf>
    <xf numFmtId="0" fontId="16" fillId="2" borderId="58" xfId="0" applyFont="1" applyFill="1" applyBorder="1" applyAlignment="1">
      <alignment horizontal="left"/>
    </xf>
    <xf numFmtId="0" fontId="20" fillId="2" borderId="0" xfId="0" applyFont="1" applyFill="1" applyAlignment="1" applyProtection="1">
      <alignment horizontal="center"/>
      <protection hidden="1"/>
    </xf>
    <xf numFmtId="0" fontId="16" fillId="2" borderId="0" xfId="0" applyFont="1" applyFill="1" applyAlignment="1">
      <alignment horizontal="left"/>
    </xf>
    <xf numFmtId="0" fontId="25" fillId="2" borderId="0" xfId="0" applyFont="1" applyFill="1"/>
    <xf numFmtId="15" fontId="16" fillId="2" borderId="0" xfId="0" applyNumberFormat="1" applyFont="1" applyFill="1"/>
    <xf numFmtId="0" fontId="26" fillId="2" borderId="0" xfId="0" applyFont="1" applyFill="1" applyProtection="1">
      <protection hidden="1"/>
    </xf>
    <xf numFmtId="0" fontId="16" fillId="2" borderId="0" xfId="0" applyFont="1" applyFill="1" applyAlignment="1" applyProtection="1">
      <alignment horizontal="right"/>
      <protection hidden="1"/>
    </xf>
    <xf numFmtId="0" fontId="20" fillId="2" borderId="60" xfId="0" applyFont="1" applyFill="1" applyBorder="1" applyAlignment="1">
      <alignment horizontal="left"/>
    </xf>
    <xf numFmtId="0" fontId="20" fillId="2" borderId="2" xfId="0" applyFont="1" applyFill="1" applyBorder="1" applyAlignment="1">
      <alignment horizontal="center"/>
    </xf>
    <xf numFmtId="0" fontId="16" fillId="9" borderId="47" xfId="0" applyFont="1" applyFill="1" applyBorder="1" applyAlignment="1">
      <alignment horizontal="left"/>
    </xf>
    <xf numFmtId="0" fontId="20" fillId="2" borderId="2" xfId="0" applyFont="1" applyFill="1" applyBorder="1" applyAlignment="1">
      <alignment horizontal="left"/>
    </xf>
    <xf numFmtId="0" fontId="24" fillId="2" borderId="2" xfId="0" quotePrefix="1" applyFont="1" applyFill="1" applyBorder="1" applyAlignment="1">
      <alignment horizontal="left"/>
    </xf>
    <xf numFmtId="0" fontId="25" fillId="2" borderId="2" xfId="0" applyFont="1" applyFill="1" applyBorder="1"/>
    <xf numFmtId="0" fontId="27" fillId="2" borderId="0" xfId="0" applyFont="1" applyFill="1" applyProtection="1">
      <protection hidden="1"/>
    </xf>
    <xf numFmtId="0" fontId="28" fillId="2" borderId="0" xfId="0" applyFont="1" applyFill="1" applyAlignment="1" applyProtection="1">
      <alignment horizontal="right"/>
      <protection hidden="1"/>
    </xf>
    <xf numFmtId="0" fontId="26" fillId="2" borderId="0" xfId="0" applyFont="1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horizontal="right"/>
      <protection hidden="1"/>
    </xf>
    <xf numFmtId="0" fontId="23" fillId="2" borderId="0" xfId="0" applyFont="1" applyFill="1" applyAlignment="1" applyProtection="1">
      <alignment horizontal="centerContinuous"/>
      <protection hidden="1"/>
    </xf>
    <xf numFmtId="0" fontId="16" fillId="2" borderId="58" xfId="0" applyFont="1" applyFill="1" applyBorder="1"/>
    <xf numFmtId="0" fontId="29" fillId="2" borderId="0" xfId="0" applyFont="1" applyFill="1"/>
    <xf numFmtId="0" fontId="30" fillId="2" borderId="0" xfId="0" applyFont="1" applyFill="1" applyAlignment="1" applyProtection="1">
      <alignment horizontal="right"/>
      <protection hidden="1"/>
    </xf>
    <xf numFmtId="0" fontId="20" fillId="2" borderId="0" xfId="0" applyFont="1" applyFill="1" applyAlignment="1" applyProtection="1">
      <alignment horizontal="right"/>
      <protection hidden="1"/>
    </xf>
    <xf numFmtId="0" fontId="20" fillId="2" borderId="0" xfId="0" applyFont="1" applyFill="1" applyProtection="1">
      <protection hidden="1"/>
    </xf>
    <xf numFmtId="14" fontId="16" fillId="2" borderId="0" xfId="0" applyNumberFormat="1" applyFont="1" applyFill="1" applyAlignment="1">
      <alignment horizontal="centerContinuous"/>
    </xf>
    <xf numFmtId="0" fontId="28" fillId="2" borderId="0" xfId="0" applyFont="1" applyFill="1" applyAlignment="1" applyProtection="1">
      <alignment horizontal="center"/>
      <protection hidden="1"/>
    </xf>
    <xf numFmtId="0" fontId="31" fillId="9" borderId="52" xfId="0" applyFont="1" applyFill="1" applyBorder="1" applyAlignment="1" applyProtection="1">
      <alignment horizontal="center"/>
      <protection locked="0"/>
    </xf>
    <xf numFmtId="165" fontId="32" fillId="2" borderId="0" xfId="0" applyNumberFormat="1" applyFont="1" applyFill="1"/>
    <xf numFmtId="0" fontId="32" fillId="2" borderId="0" xfId="0" applyFont="1" applyFill="1"/>
    <xf numFmtId="0" fontId="32" fillId="2" borderId="0" xfId="0" applyFont="1" applyFill="1" applyAlignment="1">
      <alignment horizontal="left"/>
    </xf>
    <xf numFmtId="0" fontId="33" fillId="2" borderId="0" xfId="0" applyFont="1" applyFill="1"/>
    <xf numFmtId="0" fontId="26" fillId="2" borderId="0" xfId="0" applyFont="1" applyFill="1" applyAlignment="1" applyProtection="1">
      <alignment horizontal="center"/>
      <protection hidden="1"/>
    </xf>
    <xf numFmtId="0" fontId="31" fillId="9" borderId="53" xfId="0" applyFont="1" applyFill="1" applyBorder="1" applyAlignment="1" applyProtection="1">
      <alignment horizontal="center"/>
      <protection locked="0"/>
    </xf>
    <xf numFmtId="165" fontId="32" fillId="2" borderId="0" xfId="0" applyNumberFormat="1" applyFont="1" applyFill="1" applyAlignment="1">
      <alignment horizontal="left"/>
    </xf>
    <xf numFmtId="0" fontId="32" fillId="2" borderId="0" xfId="0" applyFont="1" applyFill="1" applyAlignment="1">
      <alignment horizontal="centerContinuous"/>
    </xf>
    <xf numFmtId="0" fontId="33" fillId="2" borderId="0" xfId="0" applyFont="1" applyFill="1" applyAlignment="1">
      <alignment horizontal="centerContinuous"/>
    </xf>
    <xf numFmtId="0" fontId="20" fillId="2" borderId="0" xfId="0" applyFont="1" applyFill="1" applyAlignment="1">
      <alignment horizontal="right"/>
    </xf>
    <xf numFmtId="166" fontId="20" fillId="2" borderId="0" xfId="0" applyNumberFormat="1" applyFont="1" applyFill="1"/>
    <xf numFmtId="164" fontId="31" fillId="9" borderId="53" xfId="0" applyNumberFormat="1" applyFont="1" applyFill="1" applyBorder="1" applyAlignment="1" applyProtection="1">
      <alignment horizontal="center"/>
      <protection locked="0"/>
    </xf>
    <xf numFmtId="165" fontId="34" fillId="2" borderId="0" xfId="0" applyNumberFormat="1" applyFont="1" applyFill="1" applyAlignment="1">
      <alignment horizontal="center"/>
    </xf>
    <xf numFmtId="0" fontId="35" fillId="2" borderId="0" xfId="0" applyFont="1" applyFill="1"/>
    <xf numFmtId="1" fontId="16" fillId="2" borderId="0" xfId="0" applyNumberFormat="1" applyFont="1" applyFill="1" applyProtection="1">
      <protection hidden="1"/>
    </xf>
    <xf numFmtId="0" fontId="15" fillId="2" borderId="0" xfId="0" applyFont="1" applyFill="1"/>
    <xf numFmtId="0" fontId="37" fillId="2" borderId="0" xfId="0" applyFont="1" applyFill="1" applyAlignment="1">
      <alignment horizontal="centerContinuous"/>
    </xf>
    <xf numFmtId="1" fontId="31" fillId="9" borderId="53" xfId="0" applyNumberFormat="1" applyFont="1" applyFill="1" applyBorder="1" applyAlignment="1" applyProtection="1">
      <alignment horizontal="center"/>
      <protection locked="0"/>
    </xf>
    <xf numFmtId="164" fontId="16" fillId="2" borderId="0" xfId="0" quotePrefix="1" applyNumberFormat="1" applyFont="1" applyFill="1" applyAlignment="1">
      <alignment horizontal="left"/>
    </xf>
    <xf numFmtId="0" fontId="16" fillId="3" borderId="0" xfId="0" applyFont="1" applyFill="1"/>
    <xf numFmtId="0" fontId="16" fillId="3" borderId="0" xfId="0" applyFont="1" applyFill="1" applyProtection="1">
      <protection locked="0"/>
    </xf>
    <xf numFmtId="167" fontId="20" fillId="2" borderId="0" xfId="0" applyNumberFormat="1" applyFont="1" applyFill="1"/>
    <xf numFmtId="165" fontId="31" fillId="9" borderId="54" xfId="0" applyNumberFormat="1" applyFont="1" applyFill="1" applyBorder="1" applyAlignment="1" applyProtection="1">
      <alignment horizontal="center"/>
      <protection locked="0"/>
    </xf>
    <xf numFmtId="0" fontId="20" fillId="8" borderId="62" xfId="0" applyFont="1" applyFill="1" applyBorder="1" applyAlignment="1" applyProtection="1">
      <alignment horizontal="center"/>
      <protection locked="0"/>
    </xf>
    <xf numFmtId="0" fontId="20" fillId="8" borderId="63" xfId="0" applyFont="1" applyFill="1" applyBorder="1" applyAlignment="1" applyProtection="1">
      <alignment horizontal="center"/>
      <protection locked="0"/>
    </xf>
    <xf numFmtId="0" fontId="38" fillId="8" borderId="63" xfId="0" applyFont="1" applyFill="1" applyBorder="1" applyAlignment="1" applyProtection="1">
      <alignment horizontal="center"/>
      <protection locked="0"/>
    </xf>
    <xf numFmtId="0" fontId="13" fillId="8" borderId="63" xfId="0" quotePrefix="1" applyFont="1" applyFill="1" applyBorder="1" applyAlignment="1" applyProtection="1">
      <alignment horizontal="left"/>
      <protection locked="0"/>
    </xf>
    <xf numFmtId="0" fontId="20" fillId="8" borderId="64" xfId="0" applyFont="1" applyFill="1" applyBorder="1" applyAlignment="1" applyProtection="1">
      <alignment horizontal="center"/>
      <protection locked="0"/>
    </xf>
    <xf numFmtId="0" fontId="20" fillId="2" borderId="0" xfId="0" applyFont="1" applyFill="1" applyAlignment="1" applyProtection="1">
      <alignment horizontal="center"/>
      <protection locked="0"/>
    </xf>
    <xf numFmtId="0" fontId="39" fillId="2" borderId="58" xfId="0" applyFont="1" applyFill="1" applyBorder="1"/>
    <xf numFmtId="0" fontId="20" fillId="3" borderId="0" xfId="0" applyFont="1" applyFill="1" applyAlignment="1">
      <alignment horizontal="center"/>
    </xf>
    <xf numFmtId="0" fontId="20" fillId="2" borderId="4" xfId="0" applyFont="1" applyFill="1" applyBorder="1" applyAlignment="1" applyProtection="1">
      <alignment horizontal="center"/>
      <protection locked="0"/>
    </xf>
    <xf numFmtId="0" fontId="20" fillId="2" borderId="5" xfId="0" applyFont="1" applyFill="1" applyBorder="1" applyAlignment="1" applyProtection="1">
      <alignment horizontal="center"/>
      <protection locked="0"/>
    </xf>
    <xf numFmtId="0" fontId="40" fillId="7" borderId="15" xfId="0" applyFont="1" applyFill="1" applyBorder="1" applyAlignment="1" applyProtection="1">
      <alignment horizontal="center"/>
      <protection locked="0"/>
    </xf>
    <xf numFmtId="0" fontId="40" fillId="7" borderId="11" xfId="0" applyFont="1" applyFill="1" applyBorder="1" applyAlignment="1" applyProtection="1">
      <alignment horizontal="center"/>
      <protection locked="0"/>
    </xf>
    <xf numFmtId="0" fontId="41" fillId="7" borderId="15" xfId="0" applyFont="1" applyFill="1" applyBorder="1" applyAlignment="1" applyProtection="1">
      <alignment horizontal="center"/>
      <protection locked="0"/>
    </xf>
    <xf numFmtId="0" fontId="41" fillId="7" borderId="15" xfId="0" quotePrefix="1" applyFont="1" applyFill="1" applyBorder="1" applyAlignment="1" applyProtection="1">
      <alignment horizontal="center"/>
      <protection locked="0"/>
    </xf>
    <xf numFmtId="0" fontId="40" fillId="7" borderId="10" xfId="0" applyFont="1" applyFill="1" applyBorder="1" applyAlignment="1" applyProtection="1">
      <alignment horizontal="center"/>
      <protection locked="0"/>
    </xf>
    <xf numFmtId="0" fontId="39" fillId="2" borderId="58" xfId="0" applyFont="1" applyFill="1" applyBorder="1" applyAlignment="1">
      <alignment horizontal="centerContinuous"/>
    </xf>
    <xf numFmtId="0" fontId="42" fillId="2" borderId="0" xfId="0" applyFont="1" applyFill="1"/>
    <xf numFmtId="0" fontId="43" fillId="3" borderId="0" xfId="0" applyFont="1" applyFill="1" applyAlignment="1">
      <alignment horizontal="left"/>
    </xf>
    <xf numFmtId="0" fontId="43" fillId="2" borderId="7" xfId="0" applyFont="1" applyFill="1" applyBorder="1" applyAlignment="1" applyProtection="1">
      <alignment horizontal="left"/>
      <protection locked="0"/>
    </xf>
    <xf numFmtId="0" fontId="20" fillId="2" borderId="11" xfId="0" applyFont="1" applyFill="1" applyBorder="1" applyAlignment="1" applyProtection="1">
      <alignment horizontal="center"/>
      <protection locked="0"/>
    </xf>
    <xf numFmtId="0" fontId="44" fillId="2" borderId="15" xfId="0" applyFont="1" applyFill="1" applyBorder="1" applyAlignment="1" applyProtection="1">
      <alignment horizontal="center"/>
      <protection locked="0"/>
    </xf>
    <xf numFmtId="0" fontId="44" fillId="2" borderId="11" xfId="0" applyFont="1" applyFill="1" applyBorder="1" applyAlignment="1" applyProtection="1">
      <alignment horizontal="center"/>
      <protection locked="0"/>
    </xf>
    <xf numFmtId="0" fontId="45" fillId="3" borderId="7" xfId="0" applyFont="1" applyFill="1" applyBorder="1" applyAlignment="1" applyProtection="1">
      <alignment horizontal="center"/>
      <protection locked="0"/>
    </xf>
    <xf numFmtId="164" fontId="45" fillId="3" borderId="7" xfId="0" applyNumberFormat="1" applyFont="1" applyFill="1" applyBorder="1" applyAlignment="1" applyProtection="1">
      <alignment horizontal="center"/>
      <protection locked="0"/>
    </xf>
    <xf numFmtId="0" fontId="16" fillId="3" borderId="7" xfId="0" applyFont="1" applyFill="1" applyBorder="1" applyAlignment="1" applyProtection="1">
      <alignment horizontal="center"/>
      <protection locked="0"/>
    </xf>
    <xf numFmtId="0" fontId="15" fillId="0" borderId="4" xfId="0" applyFont="1" applyBorder="1" applyAlignment="1" applyProtection="1">
      <alignment horizontal="center"/>
      <protection locked="0"/>
    </xf>
    <xf numFmtId="0" fontId="39" fillId="2" borderId="0" xfId="0" applyFont="1" applyFill="1" applyAlignment="1">
      <alignment horizontal="right"/>
    </xf>
    <xf numFmtId="0" fontId="27" fillId="2" borderId="0" xfId="0" applyFont="1" applyFill="1"/>
    <xf numFmtId="0" fontId="20" fillId="2" borderId="10" xfId="0" applyFont="1" applyFill="1" applyBorder="1" applyAlignment="1" applyProtection="1">
      <alignment horizontal="center"/>
      <protection locked="0"/>
    </xf>
    <xf numFmtId="0" fontId="43" fillId="2" borderId="11" xfId="0" applyFont="1" applyFill="1" applyBorder="1" applyAlignment="1" applyProtection="1">
      <alignment horizontal="center"/>
      <protection locked="0"/>
    </xf>
    <xf numFmtId="0" fontId="35" fillId="2" borderId="59" xfId="0" applyFont="1" applyFill="1" applyBorder="1"/>
    <xf numFmtId="0" fontId="26" fillId="2" borderId="0" xfId="0" applyFont="1" applyFill="1" applyAlignment="1" applyProtection="1">
      <alignment horizontal="right"/>
      <protection hidden="1"/>
    </xf>
    <xf numFmtId="0" fontId="13" fillId="3" borderId="0" xfId="0" applyFont="1" applyFill="1" applyAlignment="1" applyProtection="1">
      <alignment horizontal="centerContinuous"/>
      <protection hidden="1"/>
    </xf>
    <xf numFmtId="167" fontId="20" fillId="2" borderId="0" xfId="0" applyNumberFormat="1" applyFont="1" applyFill="1" applyProtection="1">
      <protection hidden="1"/>
    </xf>
    <xf numFmtId="167" fontId="16" fillId="2" borderId="0" xfId="0" applyNumberFormat="1" applyFont="1" applyFill="1" applyProtection="1">
      <protection hidden="1"/>
    </xf>
    <xf numFmtId="0" fontId="16" fillId="3" borderId="58" xfId="0" applyFont="1" applyFill="1" applyBorder="1"/>
    <xf numFmtId="0" fontId="13" fillId="3" borderId="0" xfId="0" applyFont="1" applyFill="1" applyAlignment="1" applyProtection="1">
      <alignment horizontal="center"/>
      <protection hidden="1"/>
    </xf>
    <xf numFmtId="0" fontId="39" fillId="2" borderId="2" xfId="0" applyFont="1" applyFill="1" applyBorder="1" applyAlignment="1">
      <alignment horizontal="right"/>
    </xf>
    <xf numFmtId="0" fontId="42" fillId="2" borderId="2" xfId="0" applyFont="1" applyFill="1" applyBorder="1"/>
    <xf numFmtId="0" fontId="16" fillId="2" borderId="2" xfId="0" applyFont="1" applyFill="1" applyBorder="1" applyAlignment="1">
      <alignment horizontal="left"/>
    </xf>
    <xf numFmtId="0" fontId="35" fillId="2" borderId="2" xfId="0" applyFont="1" applyFill="1" applyBorder="1"/>
    <xf numFmtId="0" fontId="16" fillId="2" borderId="2" xfId="0" applyFont="1" applyFill="1" applyBorder="1"/>
    <xf numFmtId="0" fontId="20" fillId="2" borderId="5" xfId="0" applyFont="1" applyFill="1" applyBorder="1" applyProtection="1">
      <protection locked="0"/>
    </xf>
    <xf numFmtId="0" fontId="44" fillId="2" borderId="7" xfId="0" applyFont="1" applyFill="1" applyBorder="1" applyAlignment="1" applyProtection="1">
      <alignment horizontal="center"/>
      <protection locked="0"/>
    </xf>
    <xf numFmtId="0" fontId="44" fillId="2" borderId="5" xfId="0" applyFont="1" applyFill="1" applyBorder="1" applyAlignment="1" applyProtection="1">
      <alignment horizontal="center"/>
      <protection locked="0"/>
    </xf>
    <xf numFmtId="0" fontId="44" fillId="2" borderId="5" xfId="0" applyFont="1" applyFill="1" applyBorder="1" applyProtection="1">
      <protection locked="0"/>
    </xf>
    <xf numFmtId="0" fontId="15" fillId="0" borderId="7" xfId="0" applyFont="1" applyBorder="1" applyAlignment="1">
      <alignment horizontal="center"/>
    </xf>
    <xf numFmtId="0" fontId="15" fillId="3" borderId="7" xfId="0" applyFont="1" applyFill="1" applyBorder="1" applyAlignment="1" applyProtection="1">
      <alignment horizontal="center"/>
      <protection locked="0"/>
    </xf>
    <xf numFmtId="0" fontId="15" fillId="3" borderId="4" xfId="0" applyFont="1" applyFill="1" applyBorder="1" applyAlignment="1" applyProtection="1">
      <alignment horizontal="center"/>
      <protection locked="0"/>
    </xf>
    <xf numFmtId="0" fontId="20" fillId="2" borderId="58" xfId="0" applyFont="1" applyFill="1" applyBorder="1" applyAlignment="1">
      <alignment horizontal="left"/>
    </xf>
    <xf numFmtId="0" fontId="16" fillId="2" borderId="4" xfId="0" applyFont="1" applyFill="1" applyBorder="1" applyProtection="1">
      <protection locked="0"/>
    </xf>
    <xf numFmtId="0" fontId="16" fillId="2" borderId="58" xfId="0" applyFont="1" applyFill="1" applyBorder="1" applyAlignment="1">
      <alignment horizontal="right"/>
    </xf>
    <xf numFmtId="1" fontId="23" fillId="2" borderId="7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right"/>
    </xf>
    <xf numFmtId="164" fontId="16" fillId="2" borderId="7" xfId="0" applyNumberFormat="1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20" fillId="2" borderId="42" xfId="0" applyFont="1" applyFill="1" applyBorder="1" applyProtection="1">
      <protection locked="0"/>
    </xf>
    <xf numFmtId="0" fontId="46" fillId="2" borderId="43" xfId="0" applyFont="1" applyFill="1" applyBorder="1" applyProtection="1">
      <protection locked="0"/>
    </xf>
    <xf numFmtId="15" fontId="47" fillId="2" borderId="47" xfId="0" applyNumberFormat="1" applyFont="1" applyFill="1" applyBorder="1" applyAlignment="1" applyProtection="1">
      <alignment horizontal="center"/>
      <protection locked="0"/>
    </xf>
    <xf numFmtId="15" fontId="48" fillId="2" borderId="47" xfId="0" applyNumberFormat="1" applyFont="1" applyFill="1" applyBorder="1" applyAlignment="1" applyProtection="1">
      <alignment horizontal="center"/>
      <protection locked="0"/>
    </xf>
    <xf numFmtId="15" fontId="20" fillId="3" borderId="47" xfId="0" applyNumberFormat="1" applyFont="1" applyFill="1" applyBorder="1" applyAlignment="1" applyProtection="1">
      <alignment horizontal="center"/>
      <protection locked="0"/>
    </xf>
    <xf numFmtId="15" fontId="49" fillId="3" borderId="47" xfId="0" applyNumberFormat="1" applyFont="1" applyFill="1" applyBorder="1" applyAlignment="1" applyProtection="1">
      <alignment horizontal="center"/>
      <protection locked="0"/>
    </xf>
    <xf numFmtId="15" fontId="16" fillId="3" borderId="47" xfId="0" applyNumberFormat="1" applyFont="1" applyFill="1" applyBorder="1" applyProtection="1">
      <protection locked="0"/>
    </xf>
    <xf numFmtId="15" fontId="20" fillId="3" borderId="44" xfId="0" applyNumberFormat="1" applyFont="1" applyFill="1" applyBorder="1" applyAlignment="1" applyProtection="1">
      <alignment horizontal="center"/>
      <protection locked="0"/>
    </xf>
    <xf numFmtId="164" fontId="16" fillId="2" borderId="0" xfId="0" applyNumberFormat="1" applyFont="1" applyFill="1" applyAlignment="1">
      <alignment horizontal="center"/>
    </xf>
    <xf numFmtId="0" fontId="16" fillId="3" borderId="44" xfId="0" applyFont="1" applyFill="1" applyBorder="1" applyAlignment="1">
      <alignment horizontal="centerContinuous"/>
    </xf>
    <xf numFmtId="0" fontId="16" fillId="3" borderId="45" xfId="0" applyFont="1" applyFill="1" applyBorder="1" applyAlignment="1">
      <alignment horizontal="centerContinuous"/>
    </xf>
    <xf numFmtId="2" fontId="16" fillId="3" borderId="47" xfId="0" applyNumberFormat="1" applyFont="1" applyFill="1" applyBorder="1" applyAlignment="1">
      <alignment horizontal="center"/>
    </xf>
    <xf numFmtId="2" fontId="16" fillId="3" borderId="46" xfId="0" applyNumberFormat="1" applyFont="1" applyFill="1" applyBorder="1" applyAlignment="1">
      <alignment horizontal="center"/>
    </xf>
    <xf numFmtId="0" fontId="16" fillId="3" borderId="46" xfId="0" applyFont="1" applyFill="1" applyBorder="1" applyAlignment="1">
      <alignment horizontal="centerContinuous"/>
    </xf>
    <xf numFmtId="0" fontId="50" fillId="10" borderId="0" xfId="0" applyFont="1" applyFill="1"/>
    <xf numFmtId="2" fontId="51" fillId="10" borderId="0" xfId="1" applyNumberFormat="1" applyFont="1" applyFill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52" fillId="2" borderId="0" xfId="0" applyFont="1" applyFill="1" applyAlignment="1">
      <alignment horizontal="left"/>
    </xf>
    <xf numFmtId="2" fontId="50" fillId="2" borderId="7" xfId="0" applyNumberFormat="1" applyFont="1" applyFill="1" applyBorder="1" applyAlignment="1">
      <alignment horizontal="center"/>
    </xf>
    <xf numFmtId="0" fontId="53" fillId="0" borderId="0" xfId="0" applyFont="1"/>
    <xf numFmtId="2" fontId="20" fillId="0" borderId="0" xfId="0" applyNumberFormat="1" applyFont="1" applyAlignment="1" applyProtection="1">
      <alignment horizontal="center"/>
      <protection locked="0"/>
    </xf>
    <xf numFmtId="0" fontId="49" fillId="0" borderId="0" xfId="0" applyFont="1" applyAlignment="1">
      <alignment horizontal="center"/>
    </xf>
    <xf numFmtId="165" fontId="16" fillId="2" borderId="7" xfId="0" applyNumberFormat="1" applyFont="1" applyFill="1" applyBorder="1" applyAlignment="1">
      <alignment horizontal="center"/>
    </xf>
    <xf numFmtId="2" fontId="20" fillId="2" borderId="0" xfId="0" applyNumberFormat="1" applyFont="1" applyFill="1" applyProtection="1">
      <protection hidden="1"/>
    </xf>
    <xf numFmtId="165" fontId="16" fillId="2" borderId="7" xfId="0" applyNumberFormat="1" applyFont="1" applyFill="1" applyBorder="1" applyAlignment="1">
      <alignment horizontal="centerContinuous"/>
    </xf>
    <xf numFmtId="2" fontId="16" fillId="2" borderId="7" xfId="0" applyNumberFormat="1" applyFont="1" applyFill="1" applyBorder="1"/>
    <xf numFmtId="1" fontId="16" fillId="2" borderId="7" xfId="0" applyNumberFormat="1" applyFont="1" applyFill="1" applyBorder="1" applyAlignment="1">
      <alignment horizontal="center"/>
    </xf>
    <xf numFmtId="0" fontId="27" fillId="2" borderId="0" xfId="0" applyFont="1" applyFill="1" applyAlignment="1" applyProtection="1">
      <alignment horizontal="centerContinuous"/>
      <protection hidden="1"/>
    </xf>
    <xf numFmtId="0" fontId="26" fillId="2" borderId="0" xfId="0" applyFont="1" applyFill="1" applyAlignment="1" applyProtection="1">
      <alignment horizontal="centerContinuous"/>
      <protection hidden="1"/>
    </xf>
    <xf numFmtId="0" fontId="16" fillId="3" borderId="0" xfId="0" applyFont="1" applyFill="1" applyAlignment="1">
      <alignment horizontal="center"/>
    </xf>
    <xf numFmtId="0" fontId="16" fillId="0" borderId="0" xfId="0" applyFont="1"/>
    <xf numFmtId="0" fontId="16" fillId="2" borderId="0" xfId="0" quotePrefix="1" applyFont="1" applyFill="1" applyAlignment="1">
      <alignment horizontal="left"/>
    </xf>
    <xf numFmtId="164" fontId="16" fillId="2" borderId="59" xfId="0" applyNumberFormat="1" applyFont="1" applyFill="1" applyBorder="1" applyAlignment="1">
      <alignment horizontal="center"/>
    </xf>
    <xf numFmtId="0" fontId="16" fillId="3" borderId="0" xfId="0" applyFont="1" applyFill="1" applyAlignment="1">
      <alignment horizontal="left"/>
    </xf>
    <xf numFmtId="0" fontId="54" fillId="3" borderId="58" xfId="0" applyFont="1" applyFill="1" applyBorder="1" applyAlignment="1">
      <alignment horizontal="left"/>
    </xf>
    <xf numFmtId="165" fontId="16" fillId="2" borderId="0" xfId="0" applyNumberFormat="1" applyFont="1" applyFill="1" applyAlignment="1">
      <alignment horizontal="center"/>
    </xf>
    <xf numFmtId="0" fontId="54" fillId="2" borderId="58" xfId="0" applyFont="1" applyFill="1" applyBorder="1" applyAlignment="1">
      <alignment horizontal="left"/>
    </xf>
    <xf numFmtId="0" fontId="54" fillId="2" borderId="61" xfId="0" applyFont="1" applyFill="1" applyBorder="1" applyAlignment="1">
      <alignment horizontal="left"/>
    </xf>
    <xf numFmtId="0" fontId="16" fillId="2" borderId="14" xfId="0" applyFont="1" applyFill="1" applyBorder="1" applyAlignment="1">
      <alignment horizontal="center"/>
    </xf>
    <xf numFmtId="0" fontId="16" fillId="2" borderId="14" xfId="0" applyFont="1" applyFill="1" applyBorder="1"/>
    <xf numFmtId="0" fontId="16" fillId="2" borderId="14" xfId="0" applyFont="1" applyFill="1" applyBorder="1" applyAlignment="1">
      <alignment horizontal="left"/>
    </xf>
    <xf numFmtId="0" fontId="35" fillId="2" borderId="14" xfId="0" applyFont="1" applyFill="1" applyBorder="1"/>
    <xf numFmtId="165" fontId="16" fillId="2" borderId="14" xfId="0" applyNumberFormat="1" applyFont="1" applyFill="1" applyBorder="1" applyAlignment="1">
      <alignment horizontal="center"/>
    </xf>
    <xf numFmtId="164" fontId="16" fillId="2" borderId="40" xfId="0" applyNumberFormat="1" applyFont="1" applyFill="1" applyBorder="1" applyAlignment="1">
      <alignment horizontal="center"/>
    </xf>
    <xf numFmtId="0" fontId="54" fillId="2" borderId="2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center"/>
    </xf>
    <xf numFmtId="2" fontId="16" fillId="2" borderId="0" xfId="0" applyNumberFormat="1" applyFont="1" applyFill="1"/>
    <xf numFmtId="164" fontId="16" fillId="3" borderId="0" xfId="0" applyNumberFormat="1" applyFont="1" applyFill="1"/>
    <xf numFmtId="164" fontId="16" fillId="2" borderId="0" xfId="0" applyNumberFormat="1" applyFont="1" applyFill="1"/>
    <xf numFmtId="0" fontId="37" fillId="2" borderId="0" xfId="0" applyFont="1" applyFill="1"/>
    <xf numFmtId="0" fontId="37" fillId="2" borderId="0" xfId="0" applyFont="1" applyFill="1" applyAlignment="1">
      <alignment horizontal="left"/>
    </xf>
    <xf numFmtId="0" fontId="44" fillId="2" borderId="0" xfId="0" applyFont="1" applyFill="1" applyAlignment="1">
      <alignment horizontal="center"/>
    </xf>
    <xf numFmtId="0" fontId="37" fillId="2" borderId="0" xfId="0" quotePrefix="1" applyFont="1" applyFill="1" applyAlignment="1">
      <alignment horizontal="left"/>
    </xf>
    <xf numFmtId="0" fontId="20" fillId="4" borderId="8" xfId="0" applyFont="1" applyFill="1" applyBorder="1"/>
    <xf numFmtId="0" fontId="20" fillId="4" borderId="3" xfId="0" applyFont="1" applyFill="1" applyBorder="1"/>
    <xf numFmtId="0" fontId="20" fillId="4" borderId="3" xfId="0" applyFont="1" applyFill="1" applyBorder="1" applyAlignment="1">
      <alignment horizontal="left"/>
    </xf>
    <xf numFmtId="0" fontId="20" fillId="4" borderId="9" xfId="0" applyFont="1" applyFill="1" applyBorder="1"/>
    <xf numFmtId="0" fontId="20" fillId="4" borderId="10" xfId="0" applyFont="1" applyFill="1" applyBorder="1"/>
    <xf numFmtId="0" fontId="20" fillId="4" borderId="2" xfId="0" applyFont="1" applyFill="1" applyBorder="1" applyAlignment="1">
      <alignment horizontal="left"/>
    </xf>
    <xf numFmtId="0" fontId="37" fillId="4" borderId="2" xfId="0" applyFont="1" applyFill="1" applyBorder="1"/>
    <xf numFmtId="0" fontId="20" fillId="4" borderId="2" xfId="0" applyFont="1" applyFill="1" applyBorder="1"/>
    <xf numFmtId="0" fontId="20" fillId="4" borderId="11" xfId="0" applyFont="1" applyFill="1" applyBorder="1"/>
    <xf numFmtId="0" fontId="35" fillId="2" borderId="0" xfId="0" applyFont="1" applyFill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Alignment="1">
      <alignment horizontal="centerContinuous"/>
    </xf>
    <xf numFmtId="1" fontId="29" fillId="2" borderId="4" xfId="0" applyNumberFormat="1" applyFont="1" applyFill="1" applyBorder="1" applyAlignment="1">
      <alignment horizontal="centerContinuous"/>
    </xf>
    <xf numFmtId="0" fontId="16" fillId="2" borderId="2" xfId="0" applyFont="1" applyFill="1" applyBorder="1" applyAlignment="1">
      <alignment horizontal="centerContinuous"/>
    </xf>
    <xf numFmtId="1" fontId="29" fillId="2" borderId="12" xfId="0" applyNumberFormat="1" applyFont="1" applyFill="1" applyBorder="1" applyAlignment="1">
      <alignment horizontal="centerContinuous"/>
    </xf>
    <xf numFmtId="1" fontId="29" fillId="2" borderId="5" xfId="0" applyNumberFormat="1" applyFont="1" applyFill="1" applyBorder="1" applyAlignment="1">
      <alignment horizontal="centerContinuous"/>
    </xf>
    <xf numFmtId="1" fontId="29" fillId="2" borderId="7" xfId="0" applyNumberFormat="1" applyFont="1" applyFill="1" applyBorder="1" applyAlignment="1">
      <alignment horizontal="centerContinuous"/>
    </xf>
    <xf numFmtId="1" fontId="29" fillId="3" borderId="4" xfId="0" applyNumberFormat="1" applyFont="1" applyFill="1" applyBorder="1" applyAlignment="1">
      <alignment horizontal="centerContinuous"/>
    </xf>
    <xf numFmtId="1" fontId="29" fillId="3" borderId="12" xfId="0" applyNumberFormat="1" applyFont="1" applyFill="1" applyBorder="1" applyAlignment="1">
      <alignment horizontal="centerContinuous"/>
    </xf>
    <xf numFmtId="1" fontId="29" fillId="3" borderId="5" xfId="0" applyNumberFormat="1" applyFont="1" applyFill="1" applyBorder="1" applyAlignment="1">
      <alignment horizontal="centerContinuous"/>
    </xf>
    <xf numFmtId="1" fontId="37" fillId="2" borderId="2" xfId="0" quotePrefix="1" applyNumberFormat="1" applyFont="1" applyFill="1" applyBorder="1" applyAlignment="1">
      <alignment horizontal="left"/>
    </xf>
    <xf numFmtId="1" fontId="37" fillId="2" borderId="2" xfId="0" applyNumberFormat="1" applyFont="1" applyFill="1" applyBorder="1"/>
    <xf numFmtId="164" fontId="20" fillId="2" borderId="10" xfId="0" applyNumberFormat="1" applyFont="1" applyFill="1" applyBorder="1"/>
    <xf numFmtId="164" fontId="20" fillId="2" borderId="11" xfId="0" applyNumberFormat="1" applyFont="1" applyFill="1" applyBorder="1"/>
    <xf numFmtId="164" fontId="20" fillId="2" borderId="2" xfId="0" applyNumberFormat="1" applyFont="1" applyFill="1" applyBorder="1"/>
    <xf numFmtId="164" fontId="20" fillId="2" borderId="4" xfId="0" applyNumberFormat="1" applyFont="1" applyFill="1" applyBorder="1"/>
    <xf numFmtId="164" fontId="20" fillId="2" borderId="12" xfId="0" applyNumberFormat="1" applyFont="1" applyFill="1" applyBorder="1"/>
    <xf numFmtId="164" fontId="20" fillId="2" borderId="5" xfId="0" applyNumberFormat="1" applyFont="1" applyFill="1" applyBorder="1"/>
    <xf numFmtId="164" fontId="20" fillId="3" borderId="4" xfId="0" applyNumberFormat="1" applyFont="1" applyFill="1" applyBorder="1"/>
    <xf numFmtId="164" fontId="20" fillId="3" borderId="12" xfId="0" applyNumberFormat="1" applyFont="1" applyFill="1" applyBorder="1"/>
    <xf numFmtId="164" fontId="20" fillId="3" borderId="5" xfId="0" applyNumberFormat="1" applyFont="1" applyFill="1" applyBorder="1"/>
    <xf numFmtId="1" fontId="35" fillId="2" borderId="0" xfId="0" applyNumberFormat="1" applyFont="1" applyFill="1"/>
    <xf numFmtId="164" fontId="16" fillId="2" borderId="8" xfId="0" applyNumberFormat="1" applyFont="1" applyFill="1" applyBorder="1"/>
    <xf numFmtId="164" fontId="16" fillId="2" borderId="9" xfId="0" applyNumberFormat="1" applyFont="1" applyFill="1" applyBorder="1"/>
    <xf numFmtId="164" fontId="16" fillId="2" borderId="3" xfId="0" applyNumberFormat="1" applyFont="1" applyFill="1" applyBorder="1"/>
    <xf numFmtId="164" fontId="16" fillId="2" borderId="13" xfId="0" applyNumberFormat="1" applyFont="1" applyFill="1" applyBorder="1"/>
    <xf numFmtId="164" fontId="16" fillId="2" borderId="6" xfId="0" applyNumberFormat="1" applyFont="1" applyFill="1" applyBorder="1"/>
    <xf numFmtId="164" fontId="16" fillId="3" borderId="8" xfId="0" applyNumberFormat="1" applyFont="1" applyFill="1" applyBorder="1"/>
    <xf numFmtId="164" fontId="16" fillId="3" borderId="3" xfId="0" applyNumberFormat="1" applyFont="1" applyFill="1" applyBorder="1"/>
    <xf numFmtId="164" fontId="16" fillId="3" borderId="9" xfId="0" applyNumberFormat="1" applyFont="1" applyFill="1" applyBorder="1"/>
    <xf numFmtId="1" fontId="16" fillId="2" borderId="0" xfId="0" applyNumberFormat="1" applyFont="1" applyFill="1"/>
    <xf numFmtId="164" fontId="16" fillId="2" borderId="10" xfId="0" applyNumberFormat="1" applyFont="1" applyFill="1" applyBorder="1"/>
    <xf numFmtId="164" fontId="16" fillId="2" borderId="11" xfId="0" applyNumberFormat="1" applyFont="1" applyFill="1" applyBorder="1"/>
    <xf numFmtId="164" fontId="16" fillId="2" borderId="2" xfId="0" applyNumberFormat="1" applyFont="1" applyFill="1" applyBorder="1"/>
    <xf numFmtId="1" fontId="29" fillId="2" borderId="2" xfId="0" applyNumberFormat="1" applyFont="1" applyFill="1" applyBorder="1"/>
    <xf numFmtId="164" fontId="20" fillId="2" borderId="0" xfId="0" applyNumberFormat="1" applyFont="1" applyFill="1"/>
    <xf numFmtId="164" fontId="16" fillId="2" borderId="14" xfId="0" applyNumberFormat="1" applyFont="1" applyFill="1" applyBorder="1"/>
    <xf numFmtId="1" fontId="16" fillId="2" borderId="14" xfId="0" applyNumberFormat="1" applyFont="1" applyFill="1" applyBorder="1"/>
    <xf numFmtId="164" fontId="23" fillId="2" borderId="0" xfId="0" applyNumberFormat="1" applyFont="1" applyFill="1" applyAlignment="1">
      <alignment horizontal="centerContinuous"/>
    </xf>
    <xf numFmtId="0" fontId="35" fillId="2" borderId="11" xfId="0" applyFont="1" applyFill="1" applyBorder="1" applyAlignment="1">
      <alignment horizontal="centerContinuous"/>
    </xf>
    <xf numFmtId="164" fontId="16" fillId="2" borderId="2" xfId="0" applyNumberFormat="1" applyFont="1" applyFill="1" applyBorder="1" applyAlignment="1">
      <alignment horizontal="center"/>
    </xf>
    <xf numFmtId="165" fontId="16" fillId="2" borderId="0" xfId="0" applyNumberFormat="1" applyFont="1" applyFill="1"/>
    <xf numFmtId="165" fontId="16" fillId="2" borderId="2" xfId="0" applyNumberFormat="1" applyFont="1" applyFill="1" applyBorder="1"/>
    <xf numFmtId="0" fontId="35" fillId="2" borderId="0" xfId="0" quotePrefix="1" applyFont="1" applyFill="1" applyAlignment="1">
      <alignment horizontal="left"/>
    </xf>
    <xf numFmtId="0" fontId="35" fillId="2" borderId="2" xfId="0" applyFont="1" applyFill="1" applyBorder="1" applyAlignment="1">
      <alignment horizontal="left"/>
    </xf>
    <xf numFmtId="164" fontId="20" fillId="2" borderId="0" xfId="0" applyNumberFormat="1" applyFont="1" applyFill="1" applyAlignment="1">
      <alignment horizontal="right"/>
    </xf>
    <xf numFmtId="165" fontId="16" fillId="2" borderId="17" xfId="0" applyNumberFormat="1" applyFont="1" applyFill="1" applyBorder="1"/>
    <xf numFmtId="0" fontId="20" fillId="2" borderId="49" xfId="0" applyFont="1" applyFill="1" applyBorder="1" applyAlignment="1" applyProtection="1">
      <alignment horizontal="left"/>
      <protection locked="0"/>
    </xf>
    <xf numFmtId="0" fontId="20" fillId="2" borderId="50" xfId="0" applyFont="1" applyFill="1" applyBorder="1" applyAlignment="1" applyProtection="1">
      <alignment horizontal="left"/>
      <protection locked="0"/>
    </xf>
    <xf numFmtId="0" fontId="21" fillId="9" borderId="42" xfId="0" applyFont="1" applyFill="1" applyBorder="1" applyAlignment="1" applyProtection="1">
      <alignment horizontal="center"/>
      <protection locked="0"/>
    </xf>
    <xf numFmtId="0" fontId="21" fillId="9" borderId="51" xfId="0" applyFont="1" applyFill="1" applyBorder="1" applyAlignment="1" applyProtection="1">
      <alignment horizontal="center"/>
      <protection locked="0"/>
    </xf>
    <xf numFmtId="0" fontId="21" fillId="9" borderId="43" xfId="0" applyFont="1" applyFill="1" applyBorder="1" applyAlignment="1" applyProtection="1">
      <alignment horizontal="center"/>
      <protection locked="0"/>
    </xf>
    <xf numFmtId="0" fontId="43" fillId="2" borderId="4" xfId="0" applyFont="1" applyFill="1" applyBorder="1" applyAlignment="1" applyProtection="1">
      <alignment horizontal="left"/>
      <protection locked="0"/>
    </xf>
    <xf numFmtId="0" fontId="43" fillId="2" borderId="5" xfId="0" applyFont="1" applyFill="1" applyBorder="1" applyAlignment="1" applyProtection="1">
      <alignment horizontal="left"/>
      <protection locked="0"/>
    </xf>
    <xf numFmtId="0" fontId="16" fillId="0" borderId="5" xfId="0" applyFont="1" applyBorder="1" applyAlignment="1">
      <alignment horizontal="left"/>
    </xf>
    <xf numFmtId="0" fontId="20" fillId="2" borderId="4" xfId="0" applyFont="1" applyFill="1" applyBorder="1" applyAlignment="1" applyProtection="1">
      <alignment horizontal="left"/>
      <protection locked="0"/>
    </xf>
    <xf numFmtId="0" fontId="20" fillId="2" borderId="5" xfId="0" applyFont="1" applyFill="1" applyBorder="1" applyAlignment="1" applyProtection="1">
      <alignment horizontal="left"/>
      <protection locked="0"/>
    </xf>
    <xf numFmtId="0" fontId="18" fillId="6" borderId="55" xfId="0" applyFont="1" applyFill="1" applyBorder="1" applyAlignment="1">
      <alignment horizontal="center"/>
    </xf>
    <xf numFmtId="0" fontId="18" fillId="6" borderId="56" xfId="0" applyFont="1" applyFill="1" applyBorder="1" applyAlignment="1">
      <alignment horizontal="center"/>
    </xf>
    <xf numFmtId="0" fontId="18" fillId="6" borderId="57" xfId="0" applyFont="1" applyFill="1" applyBorder="1" applyAlignment="1">
      <alignment horizontal="center"/>
    </xf>
    <xf numFmtId="0" fontId="17" fillId="2" borderId="44" xfId="0" applyFont="1" applyFill="1" applyBorder="1" applyAlignment="1">
      <alignment horizontal="center" vertical="center"/>
    </xf>
    <xf numFmtId="0" fontId="17" fillId="2" borderId="46" xfId="0" applyFont="1" applyFill="1" applyBorder="1" applyAlignment="1">
      <alignment horizontal="center" vertical="center"/>
    </xf>
    <xf numFmtId="0" fontId="17" fillId="2" borderId="45" xfId="0" applyFont="1" applyFill="1" applyBorder="1" applyAlignment="1">
      <alignment horizontal="center" vertical="center"/>
    </xf>
    <xf numFmtId="0" fontId="14" fillId="2" borderId="58" xfId="0" applyFont="1" applyFill="1" applyBorder="1" applyAlignment="1">
      <alignment horizontal="right"/>
    </xf>
    <xf numFmtId="0" fontId="14" fillId="2" borderId="59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67" xfId="0" applyFont="1" applyFill="1" applyBorder="1" applyAlignment="1">
      <alignment horizontal="right"/>
    </xf>
    <xf numFmtId="0" fontId="36" fillId="8" borderId="55" xfId="0" applyFont="1" applyFill="1" applyBorder="1" applyAlignment="1">
      <alignment horizontal="center"/>
    </xf>
    <xf numFmtId="0" fontId="36" fillId="8" borderId="56" xfId="0" applyFont="1" applyFill="1" applyBorder="1" applyAlignment="1">
      <alignment horizontal="center"/>
    </xf>
    <xf numFmtId="0" fontId="36" fillId="8" borderId="57" xfId="0" applyFont="1" applyFill="1" applyBorder="1" applyAlignment="1">
      <alignment horizontal="center"/>
    </xf>
    <xf numFmtId="0" fontId="36" fillId="8" borderId="58" xfId="0" applyFont="1" applyFill="1" applyBorder="1" applyAlignment="1">
      <alignment horizontal="center"/>
    </xf>
    <xf numFmtId="0" fontId="36" fillId="8" borderId="0" xfId="0" applyFont="1" applyFill="1" applyAlignment="1">
      <alignment horizontal="center"/>
    </xf>
    <xf numFmtId="0" fontId="36" fillId="8" borderId="59" xfId="0" applyFont="1" applyFill="1" applyBorder="1" applyAlignment="1">
      <alignment horizontal="center"/>
    </xf>
    <xf numFmtId="0" fontId="36" fillId="8" borderId="61" xfId="0" applyFont="1" applyFill="1" applyBorder="1" applyAlignment="1">
      <alignment horizontal="center"/>
    </xf>
    <xf numFmtId="0" fontId="36" fillId="8" borderId="14" xfId="0" applyFont="1" applyFill="1" applyBorder="1" applyAlignment="1">
      <alignment horizontal="center"/>
    </xf>
    <xf numFmtId="0" fontId="36" fillId="8" borderId="40" xfId="0" applyFont="1" applyFill="1" applyBorder="1" applyAlignment="1">
      <alignment horizontal="center"/>
    </xf>
    <xf numFmtId="0" fontId="21" fillId="8" borderId="65" xfId="0" applyFont="1" applyFill="1" applyBorder="1" applyAlignment="1" applyProtection="1">
      <alignment horizontal="center"/>
      <protection locked="0"/>
    </xf>
    <xf numFmtId="0" fontId="21" fillId="8" borderId="66" xfId="0" applyFont="1" applyFill="1" applyBorder="1" applyAlignment="1" applyProtection="1">
      <alignment horizontal="center"/>
      <protection locked="0"/>
    </xf>
    <xf numFmtId="0" fontId="21" fillId="8" borderId="39" xfId="0" applyFont="1" applyFill="1" applyBorder="1" applyAlignment="1" applyProtection="1">
      <alignment horizont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EDGAS_ABIERTO%20CA&#209;ADON%20SALTO.xlsx#MEDGAS1!A3" TargetMode="External"/><Relationship Id="rId2" Type="http://schemas.openxmlformats.org/officeDocument/2006/relationships/hyperlink" Target="MEDGAS_ABIERTO%20CA&#209;ADON%20SALTO.xlsx#MEDGAS1!AD13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33</xdr:row>
      <xdr:rowOff>0</xdr:rowOff>
    </xdr:from>
    <xdr:to>
      <xdr:col>5</xdr:col>
      <xdr:colOff>7620</xdr:colOff>
      <xdr:row>34</xdr:row>
      <xdr:rowOff>0</xdr:rowOff>
    </xdr:to>
    <xdr:sp macro="" textlink="">
      <xdr:nvSpPr>
        <xdr:cNvPr id="1036" name="Rectangle 1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rrowheads="1"/>
        </xdr:cNvSpPr>
      </xdr:nvSpPr>
      <xdr:spPr bwMode="auto">
        <a:xfrm>
          <a:off x="2865120" y="5890260"/>
          <a:ext cx="3550920" cy="228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735108</xdr:colOff>
      <xdr:row>0</xdr:row>
      <xdr:rowOff>1</xdr:rowOff>
    </xdr:from>
    <xdr:to>
      <xdr:col>2</xdr:col>
      <xdr:colOff>761998</xdr:colOff>
      <xdr:row>0</xdr:row>
      <xdr:rowOff>759909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AB47A2-EDF3-B30C-1487-DBD74DADC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108" y="1"/>
          <a:ext cx="2707339" cy="759908"/>
        </a:xfrm>
        <a:prstGeom prst="rect">
          <a:avLst/>
        </a:prstGeom>
      </xdr:spPr>
    </xdr:pic>
    <xdr:clientData/>
  </xdr:twoCellAnchor>
  <xdr:twoCellAnchor>
    <xdr:from>
      <xdr:col>5</xdr:col>
      <xdr:colOff>71719</xdr:colOff>
      <xdr:row>2</xdr:row>
      <xdr:rowOff>107577</xdr:rowOff>
    </xdr:from>
    <xdr:to>
      <xdr:col>7</xdr:col>
      <xdr:colOff>519953</xdr:colOff>
      <xdr:row>4</xdr:row>
      <xdr:rowOff>26894</xdr:rowOff>
    </xdr:to>
    <xdr:sp macro="" textlink="">
      <xdr:nvSpPr>
        <xdr:cNvPr id="4" name="Rectángulo: esquinas redondeada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583D4C-989F-CC81-5695-CED3F5D17F14}"/>
            </a:ext>
          </a:extLst>
        </xdr:cNvPr>
        <xdr:cNvSpPr/>
      </xdr:nvSpPr>
      <xdr:spPr bwMode="auto">
        <a:xfrm>
          <a:off x="6338048" y="1255059"/>
          <a:ext cx="1783976" cy="33169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w="165100" prst="coolSlan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AR" sz="1100" b="1"/>
            <a:t>CROMATOGRAFIAS</a:t>
          </a:r>
        </a:p>
      </xdr:txBody>
    </xdr:sp>
    <xdr:clientData/>
  </xdr:twoCellAnchor>
  <xdr:twoCellAnchor>
    <xdr:from>
      <xdr:col>29</xdr:col>
      <xdr:colOff>26895</xdr:colOff>
      <xdr:row>12</xdr:row>
      <xdr:rowOff>107578</xdr:rowOff>
    </xdr:from>
    <xdr:to>
      <xdr:col>31</xdr:col>
      <xdr:colOff>349624</xdr:colOff>
      <xdr:row>14</xdr:row>
      <xdr:rowOff>62754</xdr:rowOff>
    </xdr:to>
    <xdr:sp macro="" textlink="">
      <xdr:nvSpPr>
        <xdr:cNvPr id="5" name="Rectángulo: esquinas redondeada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30206F-0F53-4641-B799-B1859128098B}"/>
            </a:ext>
          </a:extLst>
        </xdr:cNvPr>
        <xdr:cNvSpPr/>
      </xdr:nvSpPr>
      <xdr:spPr bwMode="auto">
        <a:xfrm>
          <a:off x="27790589" y="2940425"/>
          <a:ext cx="1783976" cy="33169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w="165100" prst="coolSlan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AR" sz="1100" b="1"/>
            <a:t>VOLVER AL CALCULO</a:t>
          </a:r>
        </a:p>
      </xdr:txBody>
    </xdr:sp>
    <xdr:clientData/>
  </xdr:twoCellAnchor>
  <xdr:twoCellAnchor editAs="oneCell">
    <xdr:from>
      <xdr:col>23</xdr:col>
      <xdr:colOff>582706</xdr:colOff>
      <xdr:row>0</xdr:row>
      <xdr:rowOff>0</xdr:rowOff>
    </xdr:from>
    <xdr:to>
      <xdr:col>30</xdr:col>
      <xdr:colOff>359933</xdr:colOff>
      <xdr:row>12</xdr:row>
      <xdr:rowOff>140379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5449644-F068-03E2-C793-07A866700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65" y="0"/>
          <a:ext cx="5540188" cy="3626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Horizontal="1" syncRef="D13">
    <pageSetUpPr fitToPage="1"/>
  </sheetPr>
  <dimension ref="A1:CH351"/>
  <sheetViews>
    <sheetView tabSelected="1" topLeftCell="B2" zoomScale="85" zoomScaleNormal="85" workbookViewId="0">
      <selection activeCell="D19" sqref="D19"/>
    </sheetView>
  </sheetViews>
  <sheetFormatPr baseColWidth="10" defaultColWidth="11.44140625" defaultRowHeight="13.2"/>
  <cols>
    <col min="1" max="1" width="13.33203125" style="1" hidden="1" customWidth="1"/>
    <col min="2" max="2" width="28.33203125" style="68" customWidth="1"/>
    <col min="3" max="3" width="27.88671875" style="68" customWidth="1"/>
    <col min="4" max="4" width="18.5546875" style="68" customWidth="1"/>
    <col min="5" max="5" width="16.5546875" style="68" customWidth="1"/>
    <col min="6" max="6" width="10.5546875" style="68" customWidth="1"/>
    <col min="7" max="7" width="8.88671875" style="68" customWidth="1"/>
    <col min="8" max="8" width="13" style="68" customWidth="1"/>
    <col min="9" max="9" width="18.21875" style="242" customWidth="1"/>
    <col min="10" max="10" width="18.33203125" style="68" customWidth="1"/>
    <col min="11" max="11" width="10.6640625" style="68" customWidth="1"/>
    <col min="12" max="12" width="15" style="68" customWidth="1"/>
    <col min="13" max="14" width="11.44140625" style="68"/>
    <col min="15" max="15" width="11.88671875" style="68" customWidth="1"/>
    <col min="16" max="16" width="16" style="242" customWidth="1"/>
    <col min="17" max="17" width="20.88671875" style="242" customWidth="1"/>
    <col min="18" max="20" width="11.44140625" style="242"/>
    <col min="21" max="21" width="27.5546875" style="68" customWidth="1"/>
    <col min="22" max="26" width="11.44140625" style="68"/>
    <col min="27" max="27" width="11.33203125" style="68" customWidth="1"/>
    <col min="28" max="28" width="16.6640625" style="68" customWidth="1"/>
    <col min="29" max="29" width="10.5546875" style="68" customWidth="1"/>
    <col min="30" max="30" width="10.6640625" style="68" customWidth="1"/>
    <col min="31" max="32" width="10.5546875" style="68" customWidth="1"/>
    <col min="33" max="33" width="11.109375" style="68" customWidth="1"/>
    <col min="34" max="34" width="12.44140625" style="68" customWidth="1"/>
    <col min="35" max="35" width="11.109375" style="68" customWidth="1"/>
    <col min="36" max="36" width="11.33203125" style="68" customWidth="1"/>
    <col min="37" max="37" width="11" style="68" customWidth="1"/>
    <col min="38" max="38" width="11.109375" style="68" customWidth="1"/>
    <col min="39" max="39" width="11.5546875" style="68" customWidth="1"/>
    <col min="40" max="40" width="11.44140625" style="68"/>
    <col min="41" max="42" width="11.88671875" style="68" customWidth="1"/>
    <col min="43" max="43" width="12.88671875" style="68" customWidth="1"/>
    <col min="44" max="44" width="10.6640625" style="68" customWidth="1"/>
    <col min="45" max="46" width="11.44140625" style="68"/>
    <col min="47" max="47" width="9.21875" style="68" customWidth="1"/>
    <col min="48" max="48" width="11.44140625" style="68"/>
    <col min="49" max="49" width="23.88671875" style="68" customWidth="1"/>
    <col min="50" max="86" width="11.44140625" style="68"/>
    <col min="87" max="16384" width="11.44140625" style="1"/>
  </cols>
  <sheetData>
    <row r="1" spans="2:86" ht="64.2" customHeight="1" thickBot="1">
      <c r="D1" s="317" t="s">
        <v>268</v>
      </c>
      <c r="E1" s="318"/>
      <c r="F1" s="318"/>
      <c r="G1" s="318"/>
      <c r="H1" s="318"/>
      <c r="I1" s="318"/>
      <c r="J1" s="318"/>
      <c r="K1" s="319"/>
      <c r="L1" s="69"/>
      <c r="M1" s="69"/>
      <c r="N1" s="69"/>
      <c r="O1" s="69"/>
      <c r="P1" s="69"/>
      <c r="Q1" s="69"/>
      <c r="R1" s="69"/>
      <c r="S1" s="70"/>
      <c r="T1" s="70"/>
      <c r="U1" s="70"/>
      <c r="V1" s="69"/>
      <c r="W1" s="69"/>
    </row>
    <row r="2" spans="2:86" ht="26.25" customHeight="1">
      <c r="B2" s="314" t="s">
        <v>0</v>
      </c>
      <c r="C2" s="315"/>
      <c r="D2" s="315"/>
      <c r="E2" s="315"/>
      <c r="F2" s="315"/>
      <c r="G2" s="315"/>
      <c r="H2" s="315"/>
      <c r="I2" s="315"/>
      <c r="J2" s="315"/>
      <c r="K2" s="316"/>
      <c r="L2" s="69"/>
      <c r="M2" s="69"/>
      <c r="N2" s="69"/>
      <c r="O2" s="69"/>
      <c r="P2" s="69"/>
      <c r="Q2" s="69"/>
      <c r="R2" s="69"/>
      <c r="S2" s="70"/>
      <c r="T2" s="70"/>
      <c r="U2" s="70"/>
      <c r="V2" s="69"/>
      <c r="W2" s="69"/>
    </row>
    <row r="3" spans="2:86" ht="14.25" customHeight="1" thickBot="1">
      <c r="B3" s="71"/>
      <c r="C3" s="72"/>
      <c r="D3" s="72"/>
      <c r="E3" s="72"/>
      <c r="F3" s="72"/>
      <c r="G3" s="72"/>
      <c r="H3" s="72"/>
      <c r="I3" s="72"/>
      <c r="J3" s="72"/>
      <c r="K3" s="73"/>
      <c r="L3" s="69"/>
      <c r="M3" s="69"/>
      <c r="N3" s="69"/>
      <c r="O3" s="69"/>
      <c r="P3" s="69"/>
      <c r="Q3" s="69"/>
      <c r="R3" s="69"/>
      <c r="S3" s="70"/>
      <c r="T3" s="70"/>
      <c r="U3" s="70"/>
      <c r="V3" s="69"/>
      <c r="W3" s="69"/>
    </row>
    <row r="4" spans="2:86" s="5" customFormat="1" ht="14.4" customHeight="1" thickTop="1" thickBot="1">
      <c r="B4" s="74" t="s">
        <v>1</v>
      </c>
      <c r="C4" s="75"/>
      <c r="D4" s="76" t="s">
        <v>2</v>
      </c>
      <c r="E4" s="77">
        <v>2</v>
      </c>
      <c r="F4" s="72"/>
      <c r="G4" s="72"/>
      <c r="H4" s="68"/>
      <c r="I4" s="68"/>
      <c r="J4" s="68"/>
      <c r="K4" s="73"/>
      <c r="L4" s="69"/>
      <c r="M4" s="69"/>
      <c r="N4" s="69"/>
      <c r="O4" s="69"/>
      <c r="P4" s="69"/>
      <c r="Q4" s="69"/>
      <c r="R4" s="69"/>
      <c r="S4" s="78"/>
      <c r="T4" s="78"/>
      <c r="U4" s="78"/>
      <c r="V4" s="79"/>
      <c r="W4" s="79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</row>
    <row r="5" spans="2:86" ht="21.6" customHeight="1" thickTop="1" thickBot="1">
      <c r="B5" s="81"/>
      <c r="C5" s="75"/>
      <c r="E5" s="82">
        <v>9</v>
      </c>
      <c r="I5" s="83"/>
      <c r="J5" s="83"/>
      <c r="K5" s="73"/>
      <c r="L5" s="69"/>
      <c r="M5" s="69">
        <f>J35*14.224</f>
        <v>56.896000000000001</v>
      </c>
      <c r="N5" s="69"/>
      <c r="O5" s="69">
        <f>J37*P13</f>
        <v>57.4404754029432</v>
      </c>
      <c r="P5" s="69"/>
      <c r="Q5" s="84"/>
      <c r="R5" s="84"/>
      <c r="S5" s="85" t="s">
        <v>3</v>
      </c>
      <c r="T5" s="85" t="s">
        <v>4</v>
      </c>
      <c r="U5" s="69"/>
      <c r="V5" s="70"/>
      <c r="W5" s="70"/>
    </row>
    <row r="6" spans="2:86" ht="18" customHeight="1" thickTop="1" thickBot="1">
      <c r="B6" s="74" t="s">
        <v>5</v>
      </c>
      <c r="C6" s="75"/>
      <c r="D6" s="306" t="s">
        <v>266</v>
      </c>
      <c r="E6" s="307"/>
      <c r="F6" s="307"/>
      <c r="G6" s="308"/>
      <c r="H6" s="86" t="s">
        <v>6</v>
      </c>
      <c r="I6" s="87"/>
      <c r="J6" s="88"/>
      <c r="K6" s="73"/>
      <c r="L6" s="69"/>
      <c r="M6" s="69">
        <f>(J39*9/5)+32</f>
        <v>59</v>
      </c>
      <c r="N6" s="69"/>
      <c r="O6" s="69" t="s">
        <v>7</v>
      </c>
      <c r="P6" s="69"/>
      <c r="Q6" s="69"/>
      <c r="R6" s="69"/>
      <c r="S6" s="69">
        <v>0.05</v>
      </c>
      <c r="T6" s="69">
        <v>0.60299999999999998</v>
      </c>
      <c r="U6" s="69"/>
      <c r="V6" s="69"/>
      <c r="W6" s="69"/>
    </row>
    <row r="7" spans="2:86" ht="18" customHeight="1" thickTop="1" thickBot="1">
      <c r="B7" s="89"/>
      <c r="C7" s="83"/>
      <c r="F7" s="90"/>
      <c r="G7" s="91"/>
      <c r="H7" s="92"/>
      <c r="I7" s="92"/>
      <c r="J7" s="93"/>
      <c r="K7" s="73"/>
      <c r="L7" s="69"/>
      <c r="M7" s="69"/>
      <c r="N7" s="94"/>
      <c r="O7" s="69"/>
      <c r="P7" s="69"/>
      <c r="Q7" s="95" t="s">
        <v>8</v>
      </c>
      <c r="R7" s="70">
        <f>IF(D14=0,4.026,D14)</f>
        <v>3</v>
      </c>
      <c r="S7" s="70">
        <v>0.1</v>
      </c>
      <c r="T7" s="70">
        <v>0.60399999999999998</v>
      </c>
      <c r="U7" s="69"/>
      <c r="V7" s="95" t="s">
        <v>9</v>
      </c>
      <c r="W7" s="69">
        <f>R14/(27.7*R16)</f>
        <v>5.9900695307473439E-2</v>
      </c>
    </row>
    <row r="8" spans="2:86" s="7" customFormat="1" ht="18" customHeight="1" thickTop="1" thickBot="1">
      <c r="B8" s="96" t="s">
        <v>10</v>
      </c>
      <c r="C8" s="97"/>
      <c r="D8" s="322" t="s">
        <v>271</v>
      </c>
      <c r="E8" s="323"/>
      <c r="F8" s="98"/>
      <c r="G8" s="99"/>
      <c r="H8" s="100" t="s">
        <v>11</v>
      </c>
      <c r="I8" s="101"/>
      <c r="J8" s="88"/>
      <c r="K8" s="73"/>
      <c r="L8" s="69"/>
      <c r="M8" s="69"/>
      <c r="N8" s="102"/>
      <c r="O8" s="103"/>
      <c r="P8" s="104"/>
      <c r="Q8" s="105" t="s">
        <v>12</v>
      </c>
      <c r="R8" s="78">
        <f>D13</f>
        <v>1.8109999999999999</v>
      </c>
      <c r="S8" s="78">
        <v>0.125</v>
      </c>
      <c r="T8" s="78">
        <v>0.60399999999999998</v>
      </c>
      <c r="U8" s="106" t="s">
        <v>13</v>
      </c>
      <c r="V8" s="106"/>
      <c r="W8" s="79">
        <v>1.3</v>
      </c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</row>
    <row r="9" spans="2:86" ht="24" customHeight="1">
      <c r="B9" s="107"/>
      <c r="I9" s="108"/>
      <c r="K9" s="73"/>
      <c r="L9" s="102"/>
      <c r="M9" s="102"/>
      <c r="N9" s="102"/>
      <c r="O9" s="109" t="s">
        <v>14</v>
      </c>
      <c r="P9" s="104">
        <f>(O5+14.7)/1000</f>
        <v>7.2140475402943202E-2</v>
      </c>
      <c r="Q9" s="95" t="s">
        <v>15</v>
      </c>
      <c r="R9" s="69">
        <f>R8/R7</f>
        <v>0.60366666666666668</v>
      </c>
      <c r="S9" s="70">
        <v>0.15</v>
      </c>
      <c r="T9" s="70">
        <v>0.60399999999999998</v>
      </c>
      <c r="U9" s="69"/>
      <c r="V9" s="110" t="s">
        <v>16</v>
      </c>
      <c r="W9" s="111">
        <f>(1+W7)^0.5-(0.41+0.35*R9*R9*R9*R9)*W7/(W8*(1+W7)^0.5)</f>
        <v>1.0090843928754485</v>
      </c>
    </row>
    <row r="10" spans="2:86" ht="24.6" customHeight="1" thickBot="1">
      <c r="B10" s="107"/>
      <c r="I10" s="72"/>
      <c r="J10" s="112"/>
      <c r="K10" s="73"/>
      <c r="L10" s="113"/>
      <c r="M10" s="113"/>
      <c r="N10" s="113"/>
      <c r="O10" s="109" t="s">
        <v>17</v>
      </c>
      <c r="P10" s="104" t="e">
        <f>(O6+460)/500</f>
        <v>#VALUE!</v>
      </c>
      <c r="Q10" s="95" t="s">
        <v>18</v>
      </c>
      <c r="R10" s="69">
        <f>530/(R7)^0.5</f>
        <v>305.9956426705017</v>
      </c>
      <c r="S10" s="70">
        <v>0.17499999999999999</v>
      </c>
      <c r="T10" s="70">
        <v>0.60399999999999998</v>
      </c>
      <c r="U10" s="69"/>
      <c r="V10" s="69"/>
      <c r="W10" s="69"/>
    </row>
    <row r="11" spans="2:86" ht="15" customHeight="1">
      <c r="B11" s="320" t="s">
        <v>19</v>
      </c>
      <c r="C11" s="321"/>
      <c r="D11" s="114">
        <v>5</v>
      </c>
      <c r="E11" s="115" t="s">
        <v>20</v>
      </c>
      <c r="F11" s="116"/>
      <c r="G11" s="117"/>
      <c r="H11" s="118"/>
      <c r="I11" s="68"/>
      <c r="K11" s="73"/>
      <c r="L11" s="119">
        <f>(510*D20)/100</f>
        <v>0.53039999999999998</v>
      </c>
      <c r="M11" s="119">
        <f>(D20*1072)/100</f>
        <v>1.1148800000000001</v>
      </c>
      <c r="N11" s="119">
        <f>(D20*0)/100</f>
        <v>0</v>
      </c>
      <c r="O11" s="103" t="s">
        <v>21</v>
      </c>
      <c r="P11" s="104">
        <f>D20-(0.392*D21)</f>
        <v>-1.503592</v>
      </c>
      <c r="Q11" s="95" t="s">
        <v>22</v>
      </c>
      <c r="R11" s="69">
        <f>R8*(830-5000*R9+9000*R9*R9-4200*R9*R9*R9+R10)</f>
        <v>857.41697621212256</v>
      </c>
      <c r="S11" s="70">
        <v>0.2</v>
      </c>
      <c r="T11" s="70">
        <v>0.60399999999999998</v>
      </c>
      <c r="U11" s="69"/>
      <c r="V11" s="69"/>
      <c r="W11" s="69"/>
    </row>
    <row r="12" spans="2:86" ht="15" customHeight="1" thickBot="1">
      <c r="B12" s="320" t="s">
        <v>23</v>
      </c>
      <c r="C12" s="321"/>
      <c r="D12" s="120">
        <v>59</v>
      </c>
      <c r="E12" s="121" t="s">
        <v>20</v>
      </c>
      <c r="F12" s="117"/>
      <c r="G12" s="122"/>
      <c r="H12" s="123"/>
      <c r="I12" s="124" t="s">
        <v>24</v>
      </c>
      <c r="J12" s="125">
        <f>D19</f>
        <v>0.66310000000000002</v>
      </c>
      <c r="K12" s="73"/>
      <c r="L12" s="119">
        <f>(216*D21)/100</f>
        <v>8.8581599999999998</v>
      </c>
      <c r="M12" s="119">
        <f>(D21*492)/100</f>
        <v>20.176919999999999</v>
      </c>
      <c r="N12" s="119">
        <f>(D21*0)/100</f>
        <v>0</v>
      </c>
      <c r="O12" s="103" t="s">
        <v>25</v>
      </c>
      <c r="P12" s="104">
        <f>D20+(1.681*D21)</f>
        <v>6.9977810000000007</v>
      </c>
      <c r="Q12" s="69" t="s">
        <v>26</v>
      </c>
      <c r="R12" s="69">
        <f>J33</f>
        <v>200</v>
      </c>
      <c r="S12" s="70">
        <v>0.22500000000000001</v>
      </c>
      <c r="T12" s="70">
        <v>0.60499999999999998</v>
      </c>
      <c r="U12" s="111"/>
      <c r="V12" s="111"/>
      <c r="W12" s="111"/>
    </row>
    <row r="13" spans="2:86" ht="19.8" customHeight="1">
      <c r="B13" s="320" t="s">
        <v>274</v>
      </c>
      <c r="C13" s="321"/>
      <c r="D13" s="126">
        <v>1.8109999999999999</v>
      </c>
      <c r="E13" s="127" t="s">
        <v>272</v>
      </c>
      <c r="F13" s="91"/>
      <c r="G13" s="91"/>
      <c r="H13" s="128"/>
      <c r="I13" s="68"/>
      <c r="K13" s="73"/>
      <c r="L13" s="119">
        <f>(344*D22)/100</f>
        <v>298.54728</v>
      </c>
      <c r="M13" s="119">
        <f>(D22*673)/100</f>
        <v>584.0765100000001</v>
      </c>
      <c r="N13" s="119">
        <f>(D22*994)/100</f>
        <v>862.66278000000011</v>
      </c>
      <c r="O13" s="103" t="s">
        <v>27</v>
      </c>
      <c r="P13" s="104">
        <f>671.4/M20</f>
        <v>1.0186919812888404</v>
      </c>
      <c r="Q13" s="69" t="s">
        <v>28</v>
      </c>
      <c r="R13" s="129">
        <f>J31</f>
        <v>100</v>
      </c>
      <c r="S13" s="70">
        <v>0.25</v>
      </c>
      <c r="T13" s="70">
        <v>0.60499999999999998</v>
      </c>
      <c r="U13" s="69"/>
      <c r="V13" s="69"/>
      <c r="W13" s="69"/>
      <c r="AD13" s="324" t="s">
        <v>269</v>
      </c>
      <c r="AE13" s="325"/>
      <c r="AF13" s="325"/>
      <c r="AG13" s="325"/>
      <c r="AH13" s="325"/>
      <c r="AI13" s="325"/>
      <c r="AJ13" s="325"/>
      <c r="AK13" s="325"/>
      <c r="AL13" s="325"/>
      <c r="AM13" s="325"/>
      <c r="AN13" s="325"/>
      <c r="AO13" s="325"/>
      <c r="AP13" s="325"/>
      <c r="AQ13" s="325"/>
      <c r="AR13" s="325"/>
      <c r="AS13" s="325"/>
      <c r="AT13" s="325"/>
      <c r="AU13" s="326"/>
      <c r="AV13" s="130"/>
    </row>
    <row r="14" spans="2:86" ht="18" customHeight="1">
      <c r="B14" s="320" t="s">
        <v>275</v>
      </c>
      <c r="C14" s="321"/>
      <c r="D14" s="126">
        <v>3</v>
      </c>
      <c r="E14" s="127" t="s">
        <v>273</v>
      </c>
      <c r="F14" s="91"/>
      <c r="G14" s="91"/>
      <c r="H14" s="91"/>
      <c r="I14" s="131" t="s">
        <v>29</v>
      </c>
      <c r="J14" s="72"/>
      <c r="K14" s="73"/>
      <c r="L14" s="119">
        <f>(550*D23)/100</f>
        <v>22.153999999999996</v>
      </c>
      <c r="M14" s="119">
        <f>(D23*712)/100</f>
        <v>28.679359999999996</v>
      </c>
      <c r="N14" s="119">
        <f>(D23*1742)/100</f>
        <v>70.167759999999987</v>
      </c>
      <c r="O14" s="103" t="s">
        <v>30</v>
      </c>
      <c r="P14" s="104">
        <f>359.46/L20</f>
        <v>0.99357007090319016</v>
      </c>
      <c r="Q14" s="95" t="s">
        <v>31</v>
      </c>
      <c r="R14" s="69">
        <f>D12*R12/100</f>
        <v>118</v>
      </c>
      <c r="S14" s="70">
        <v>0.27500000000000002</v>
      </c>
      <c r="T14" s="70">
        <v>0.60599999999999998</v>
      </c>
      <c r="U14" s="69"/>
      <c r="V14" s="69"/>
      <c r="W14" s="69"/>
      <c r="AD14" s="327"/>
      <c r="AE14" s="328"/>
      <c r="AF14" s="328"/>
      <c r="AG14" s="328"/>
      <c r="AH14" s="328"/>
      <c r="AI14" s="328"/>
      <c r="AJ14" s="328"/>
      <c r="AK14" s="328"/>
      <c r="AL14" s="328"/>
      <c r="AM14" s="328"/>
      <c r="AN14" s="328"/>
      <c r="AO14" s="328"/>
      <c r="AP14" s="328"/>
      <c r="AQ14" s="328"/>
      <c r="AR14" s="328"/>
      <c r="AS14" s="328"/>
      <c r="AT14" s="328"/>
      <c r="AU14" s="329"/>
    </row>
    <row r="15" spans="2:86" ht="15" customHeight="1" thickBot="1">
      <c r="B15" s="320" t="s">
        <v>32</v>
      </c>
      <c r="C15" s="321"/>
      <c r="D15" s="132">
        <v>100</v>
      </c>
      <c r="E15" s="133"/>
      <c r="F15" s="91"/>
      <c r="G15" s="91"/>
      <c r="H15" s="128"/>
      <c r="I15" s="68"/>
      <c r="K15" s="73"/>
      <c r="L15" s="119">
        <f>(666*D24)/100</f>
        <v>14.305680000000001</v>
      </c>
      <c r="M15" s="119">
        <f>(D24*617)/100</f>
        <v>13.253160000000001</v>
      </c>
      <c r="N15" s="119">
        <f>(D24*2479)/100</f>
        <v>53.248920000000005</v>
      </c>
      <c r="O15" s="103" t="s">
        <v>33</v>
      </c>
      <c r="P15" s="104" t="e">
        <f>(0.0330378*(1/(P10^2)))-(0.0221323*(1/(P10^3)))+(0.0161353*(1/(P10^5)))</f>
        <v>#VALUE!</v>
      </c>
      <c r="Q15" s="69"/>
      <c r="R15" s="69"/>
      <c r="S15" s="70">
        <v>0.3</v>
      </c>
      <c r="T15" s="70">
        <v>0.60599999999999998</v>
      </c>
      <c r="U15" s="69"/>
      <c r="V15" s="69"/>
      <c r="W15" s="69"/>
      <c r="AA15" s="134"/>
      <c r="AB15" s="82"/>
      <c r="AC15" s="135"/>
      <c r="AD15" s="330"/>
      <c r="AE15" s="331"/>
      <c r="AF15" s="331"/>
      <c r="AG15" s="331"/>
      <c r="AH15" s="331"/>
      <c r="AI15" s="331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332"/>
      <c r="AV15" s="135"/>
      <c r="AW15" s="135"/>
      <c r="AX15" s="134"/>
      <c r="AY15" s="134"/>
      <c r="AZ15" s="134"/>
      <c r="BA15" s="134"/>
    </row>
    <row r="16" spans="2:86" ht="15" customHeight="1">
      <c r="B16" s="320" t="s">
        <v>34</v>
      </c>
      <c r="C16" s="321"/>
      <c r="D16" s="132">
        <v>200</v>
      </c>
      <c r="E16" s="133"/>
      <c r="F16" s="91"/>
      <c r="G16" s="91"/>
      <c r="I16" s="124" t="s">
        <v>16</v>
      </c>
      <c r="J16" s="136">
        <f>W9</f>
        <v>1.0090843928754485</v>
      </c>
      <c r="K16" s="73"/>
      <c r="L16" s="119">
        <f>(734*D25)/100</f>
        <v>5.9380600000000001</v>
      </c>
      <c r="M16" s="119">
        <f>(D25*529)/100</f>
        <v>4.2796099999999999</v>
      </c>
      <c r="N16" s="119">
        <f>(D25*3203)/100</f>
        <v>25.912270000000003</v>
      </c>
      <c r="O16" s="103" t="s">
        <v>35</v>
      </c>
      <c r="P16" s="104" t="e">
        <f>((0.265827*(1/(P10^2)))+(0.0457697*(1/(P10^4)))-(0.133185*(1/(P10))))/P15</f>
        <v>#VALUE!</v>
      </c>
      <c r="Q16" s="95" t="s">
        <v>36</v>
      </c>
      <c r="R16" s="69">
        <f>D11*R13/100*14.2233</f>
        <v>71.116500000000002</v>
      </c>
      <c r="S16" s="70">
        <v>0.32500000000000001</v>
      </c>
      <c r="T16" s="70">
        <v>0.60699999999999998</v>
      </c>
      <c r="U16" s="69"/>
      <c r="V16" s="69"/>
      <c r="W16" s="69"/>
      <c r="AA16" s="134"/>
      <c r="AB16" s="82"/>
      <c r="AC16" s="135"/>
      <c r="AD16" s="333" t="s">
        <v>270</v>
      </c>
      <c r="AE16" s="334"/>
      <c r="AF16" s="334"/>
      <c r="AG16" s="334"/>
      <c r="AH16" s="334"/>
      <c r="AI16" s="334"/>
      <c r="AJ16" s="334"/>
      <c r="AK16" s="334"/>
      <c r="AL16" s="334"/>
      <c r="AM16" s="334"/>
      <c r="AN16" s="334"/>
      <c r="AO16" s="334"/>
      <c r="AP16" s="334"/>
      <c r="AQ16" s="334"/>
      <c r="AR16" s="334"/>
      <c r="AS16" s="334"/>
      <c r="AT16" s="334"/>
      <c r="AU16" s="335"/>
      <c r="AV16" s="135"/>
      <c r="AW16" s="135"/>
      <c r="AX16" s="134"/>
      <c r="AY16" s="134"/>
      <c r="AZ16" s="134"/>
      <c r="BA16" s="134"/>
    </row>
    <row r="17" spans="2:64" ht="15" customHeight="1" thickBot="1">
      <c r="B17" s="320" t="s">
        <v>37</v>
      </c>
      <c r="C17" s="321"/>
      <c r="D17" s="137">
        <v>15</v>
      </c>
      <c r="E17" s="133"/>
      <c r="F17" s="91"/>
      <c r="G17" s="91"/>
      <c r="H17" s="128"/>
      <c r="I17" s="68"/>
      <c r="K17" s="73"/>
      <c r="L17" s="119">
        <f>(766*D26)/100</f>
        <v>6.1969400000000006</v>
      </c>
      <c r="M17" s="119">
        <f>(D26*551)/100</f>
        <v>4.4575899999999997</v>
      </c>
      <c r="N17" s="119">
        <f>(D26*3213)/100</f>
        <v>25.993169999999999</v>
      </c>
      <c r="O17" s="103" t="s">
        <v>18</v>
      </c>
      <c r="P17" s="104" t="e">
        <f>(3-(P15*(P16^2)))/(9*P15*(P9^2))</f>
        <v>#VALUE!</v>
      </c>
      <c r="Q17" s="69"/>
      <c r="R17" s="69"/>
      <c r="S17" s="70">
        <v>0.35</v>
      </c>
      <c r="T17" s="70">
        <v>0.60899999999999999</v>
      </c>
      <c r="U17" s="69"/>
      <c r="V17" s="69"/>
      <c r="W17" s="69"/>
      <c r="AA17" s="134"/>
      <c r="AB17" s="82"/>
      <c r="AC17" s="135"/>
      <c r="AD17" s="138" t="s">
        <v>265</v>
      </c>
      <c r="AE17" s="139" t="s">
        <v>267</v>
      </c>
      <c r="AF17" s="139"/>
      <c r="AG17" s="139"/>
      <c r="AH17" s="139"/>
      <c r="AI17" s="139"/>
      <c r="AJ17" s="139"/>
      <c r="AK17" s="139"/>
      <c r="AL17" s="139"/>
      <c r="AM17" s="139"/>
      <c r="AN17" s="139"/>
      <c r="AO17" s="140"/>
      <c r="AP17" s="140"/>
      <c r="AQ17" s="140"/>
      <c r="AR17" s="141"/>
      <c r="AS17" s="140"/>
      <c r="AT17" s="140"/>
      <c r="AU17" s="142"/>
      <c r="AV17" s="143"/>
      <c r="AW17" s="143"/>
      <c r="AX17" s="134"/>
      <c r="AY17" s="134"/>
      <c r="AZ17" s="134"/>
      <c r="BA17" s="134"/>
    </row>
    <row r="18" spans="2:64" ht="18" thickBot="1">
      <c r="B18" s="144"/>
      <c r="I18" s="124" t="s">
        <v>38</v>
      </c>
      <c r="J18" s="136">
        <f>R22</f>
        <v>1.0006223680406132</v>
      </c>
      <c r="K18" s="73"/>
      <c r="L18" s="119">
        <f>(830*D27)/100</f>
        <v>3.4029999999999996</v>
      </c>
      <c r="M18" s="119">
        <f>(D27*483)/100</f>
        <v>1.9802999999999999</v>
      </c>
      <c r="N18" s="119">
        <f>(D27*3939)/100</f>
        <v>16.149899999999999</v>
      </c>
      <c r="O18" s="103" t="s">
        <v>22</v>
      </c>
      <c r="P18" s="104" t="e">
        <f>1-(0.00075*(P9)^2.3*(2-(1/EXP(7.0532))))-(1.317*((1.09-P10)^4)*P9*(1.69-(P9^2)))</f>
        <v>#VALUE!</v>
      </c>
      <c r="Q18" s="95" t="s">
        <v>39</v>
      </c>
      <c r="R18" s="70">
        <f>VLOOKUP(R9,S6:T35,2)</f>
        <v>0.64700000000000002</v>
      </c>
      <c r="S18" s="70">
        <v>0.375</v>
      </c>
      <c r="T18" s="70">
        <v>0.61</v>
      </c>
      <c r="U18" s="69"/>
      <c r="V18" s="69"/>
      <c r="W18" s="69"/>
      <c r="AA18" s="145"/>
      <c r="AB18" s="146"/>
      <c r="AC18" s="147" t="s">
        <v>40</v>
      </c>
      <c r="AD18" s="148">
        <v>1</v>
      </c>
      <c r="AE18" s="149">
        <v>2</v>
      </c>
      <c r="AF18" s="149">
        <v>3</v>
      </c>
      <c r="AG18" s="149">
        <v>4</v>
      </c>
      <c r="AH18" s="149">
        <v>5</v>
      </c>
      <c r="AI18" s="149">
        <v>6</v>
      </c>
      <c r="AJ18" s="149">
        <v>7</v>
      </c>
      <c r="AK18" s="149">
        <v>8</v>
      </c>
      <c r="AL18" s="149">
        <v>9</v>
      </c>
      <c r="AM18" s="149">
        <v>10</v>
      </c>
      <c r="AN18" s="150">
        <v>11</v>
      </c>
      <c r="AO18" s="150">
        <v>12</v>
      </c>
      <c r="AP18" s="150">
        <v>13</v>
      </c>
      <c r="AQ18" s="150">
        <v>14</v>
      </c>
      <c r="AR18" s="151">
        <v>15</v>
      </c>
      <c r="AS18" s="150">
        <v>16</v>
      </c>
      <c r="AT18" s="150">
        <v>17</v>
      </c>
      <c r="AU18" s="152">
        <v>18</v>
      </c>
      <c r="AV18" s="146"/>
      <c r="AW18" s="147"/>
      <c r="AX18" s="134"/>
      <c r="AY18" s="135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</row>
    <row r="19" spans="2:64" ht="15" customHeight="1">
      <c r="B19" s="153" t="s">
        <v>41</v>
      </c>
      <c r="C19" s="72"/>
      <c r="D19" s="65">
        <f>HLOOKUP($E$4,$AC$18:$AW$29,2,TRUE)</f>
        <v>0.66310000000000002</v>
      </c>
      <c r="E19" s="154" t="s">
        <v>42</v>
      </c>
      <c r="F19" s="91"/>
      <c r="G19" s="91"/>
      <c r="H19" s="128"/>
      <c r="I19" s="68"/>
      <c r="K19" s="73"/>
      <c r="L19" s="119">
        <f>(846*D28)/100</f>
        <v>1.8527400000000001</v>
      </c>
      <c r="M19" s="119">
        <f>(D28*485)/100</f>
        <v>1.0621499999999999</v>
      </c>
      <c r="N19" s="119">
        <f>(D28*3948)/100</f>
        <v>8.6461199999999998</v>
      </c>
      <c r="O19" s="103" t="s">
        <v>43</v>
      </c>
      <c r="P19" s="104" t="e">
        <f>((((9*P16)-(2*P15*(P16^3)))/(54*P15*(P9^3))))-(P18/(2*P15*(P9^2)))</f>
        <v>#VALUE!</v>
      </c>
      <c r="Q19" s="69"/>
      <c r="R19" s="69"/>
      <c r="S19" s="70">
        <v>0.4</v>
      </c>
      <c r="T19" s="70">
        <v>0.61199999999999999</v>
      </c>
      <c r="U19" s="69"/>
      <c r="V19" s="69"/>
      <c r="W19" s="69"/>
      <c r="AA19" s="155"/>
      <c r="AB19" s="156" t="s">
        <v>44</v>
      </c>
      <c r="AC19" s="157"/>
      <c r="AD19" s="158">
        <v>0.66310000000000002</v>
      </c>
      <c r="AE19" s="158">
        <v>0.66310000000000002</v>
      </c>
      <c r="AF19" s="158">
        <v>1.4490000000000001</v>
      </c>
      <c r="AG19" s="158">
        <v>1.173</v>
      </c>
      <c r="AH19" s="158">
        <v>1.302</v>
      </c>
      <c r="AI19" s="159">
        <v>0.76300000000000001</v>
      </c>
      <c r="AJ19" s="159">
        <v>1.319</v>
      </c>
      <c r="AK19" s="159">
        <v>0.8</v>
      </c>
      <c r="AL19" s="159">
        <v>1.2709999999999999</v>
      </c>
      <c r="AM19" s="159">
        <v>1.349</v>
      </c>
      <c r="AN19" s="160">
        <v>1.21</v>
      </c>
      <c r="AO19" s="161">
        <v>1.165</v>
      </c>
      <c r="AP19" s="161">
        <v>1.153</v>
      </c>
      <c r="AQ19" s="161">
        <v>0.66800000000000004</v>
      </c>
      <c r="AR19" s="162"/>
      <c r="AS19" s="160">
        <v>1.4158999999999999</v>
      </c>
      <c r="AT19" s="160"/>
      <c r="AU19" s="163">
        <v>0.77400000000000002</v>
      </c>
      <c r="AV19" s="156" t="s">
        <v>44</v>
      </c>
      <c r="AW19" s="157"/>
      <c r="AX19" s="134"/>
      <c r="AY19" s="135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</row>
    <row r="20" spans="2:64" ht="15" customHeight="1">
      <c r="B20" s="107"/>
      <c r="C20" s="164" t="s">
        <v>45</v>
      </c>
      <c r="D20" s="66">
        <f>HLOOKUP($E$4,$AC$18:$AW$29,3,TRUE)</f>
        <v>0.104</v>
      </c>
      <c r="E20" s="154" t="s">
        <v>42</v>
      </c>
      <c r="F20" s="165"/>
      <c r="H20" s="128"/>
      <c r="I20" s="124" t="s">
        <v>46</v>
      </c>
      <c r="J20" s="136">
        <f>R24</f>
        <v>1.2280342685287913</v>
      </c>
      <c r="K20" s="73"/>
      <c r="L20" s="119">
        <f>SUM(L11:L19)</f>
        <v>361.78625999999997</v>
      </c>
      <c r="M20" s="119">
        <f>SUM(M11:M19)</f>
        <v>659.08048000000008</v>
      </c>
      <c r="N20" s="94"/>
      <c r="O20" s="103" t="s">
        <v>8</v>
      </c>
      <c r="P20" s="104" t="e">
        <f>(P19+SQRT(P19^2+P17^3))^0.333</f>
        <v>#VALUE!</v>
      </c>
      <c r="Q20" s="95" t="s">
        <v>47</v>
      </c>
      <c r="R20" s="69">
        <f>R11/(12835*R8*R18)</f>
        <v>5.701294486045675E-2</v>
      </c>
      <c r="S20" s="70">
        <v>0.42499999999999999</v>
      </c>
      <c r="T20" s="70">
        <v>0.61399999999999999</v>
      </c>
      <c r="U20" s="69"/>
      <c r="V20" s="69"/>
      <c r="W20" s="69"/>
      <c r="AA20" s="145"/>
      <c r="AB20" s="166"/>
      <c r="AC20" s="167" t="s">
        <v>45</v>
      </c>
      <c r="AD20" s="158">
        <v>0.90859999999999996</v>
      </c>
      <c r="AE20" s="158">
        <v>0.104</v>
      </c>
      <c r="AF20" s="158">
        <v>91.831000000000003</v>
      </c>
      <c r="AG20" s="158">
        <v>48.523000000000003</v>
      </c>
      <c r="AH20" s="158">
        <v>60.347000000000001</v>
      </c>
      <c r="AI20" s="159">
        <v>9.5779999999999994</v>
      </c>
      <c r="AJ20" s="159">
        <v>67.296999999999997</v>
      </c>
      <c r="AK20" s="159">
        <v>18.132000000000001</v>
      </c>
      <c r="AL20" s="159">
        <v>58.121000000000002</v>
      </c>
      <c r="AM20" s="159">
        <v>60.075000000000003</v>
      </c>
      <c r="AN20" s="160">
        <v>54.463999999999999</v>
      </c>
      <c r="AO20" s="161">
        <v>50.771999999999998</v>
      </c>
      <c r="AP20" s="161">
        <v>50.103999999999999</v>
      </c>
      <c r="AQ20" s="161">
        <v>0.70499999999999996</v>
      </c>
      <c r="AR20" s="162">
        <v>0</v>
      </c>
      <c r="AS20" s="160">
        <v>69.507000000000005</v>
      </c>
      <c r="AT20" s="160"/>
      <c r="AU20" s="163">
        <v>11.634</v>
      </c>
      <c r="AV20" s="309" t="s">
        <v>45</v>
      </c>
      <c r="AW20" s="310"/>
      <c r="AX20" s="134"/>
      <c r="AY20" s="135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</row>
    <row r="21" spans="2:64" ht="15" customHeight="1">
      <c r="B21" s="107"/>
      <c r="C21" s="164" t="s">
        <v>48</v>
      </c>
      <c r="D21" s="66">
        <f>HLOOKUP($E$4,$AC$18:$AW$29,4,TRUE)</f>
        <v>4.101</v>
      </c>
      <c r="E21" s="154" t="s">
        <v>42</v>
      </c>
      <c r="F21" s="165"/>
      <c r="G21" s="91"/>
      <c r="H21" s="128"/>
      <c r="I21" s="68"/>
      <c r="J21" s="75"/>
      <c r="K21" s="168"/>
      <c r="L21" s="94"/>
      <c r="M21" s="94"/>
      <c r="N21" s="94"/>
      <c r="O21" s="169" t="e">
        <f>(P17/P20-P20+P16/(3*P9))^0.5</f>
        <v>#VALUE!</v>
      </c>
      <c r="P21" s="104" t="e">
        <f>1+(0.00132/P10^3.25)</f>
        <v>#VALUE!</v>
      </c>
      <c r="Q21" s="69"/>
      <c r="R21" s="69"/>
      <c r="S21" s="70">
        <v>0.45</v>
      </c>
      <c r="T21" s="70">
        <v>0.61699999999999999</v>
      </c>
      <c r="U21" s="69"/>
      <c r="V21" s="69"/>
      <c r="W21" s="69"/>
      <c r="AA21" s="145"/>
      <c r="AB21" s="166"/>
      <c r="AC21" s="167" t="s">
        <v>48</v>
      </c>
      <c r="AD21" s="158">
        <v>0.87270000000000003</v>
      </c>
      <c r="AE21" s="158">
        <v>4.101</v>
      </c>
      <c r="AF21" s="158">
        <v>0.27100000000000002</v>
      </c>
      <c r="AG21" s="158">
        <v>0.216</v>
      </c>
      <c r="AH21" s="158">
        <v>0.19</v>
      </c>
      <c r="AI21" s="159">
        <v>1.04</v>
      </c>
      <c r="AJ21" s="159">
        <v>0.251</v>
      </c>
      <c r="AK21" s="159">
        <v>0.873</v>
      </c>
      <c r="AL21" s="159">
        <v>0.23699999999999999</v>
      </c>
      <c r="AM21" s="159">
        <v>0.55200000000000005</v>
      </c>
      <c r="AN21" s="160">
        <v>0.38700000000000001</v>
      </c>
      <c r="AO21" s="161">
        <v>0.3</v>
      </c>
      <c r="AP21" s="161">
        <v>0.29799999999999999</v>
      </c>
      <c r="AQ21" s="161">
        <v>0.85299999999999998</v>
      </c>
      <c r="AR21" s="162">
        <v>0</v>
      </c>
      <c r="AS21" s="160">
        <v>0.14099999999999999</v>
      </c>
      <c r="AT21" s="160"/>
      <c r="AU21" s="163">
        <v>0.90600000000000003</v>
      </c>
      <c r="AV21" s="309" t="s">
        <v>48</v>
      </c>
      <c r="AW21" s="310"/>
      <c r="AX21" s="134"/>
      <c r="AY21" s="135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</row>
    <row r="22" spans="2:64" ht="15" customHeight="1">
      <c r="B22" s="107"/>
      <c r="C22" s="164" t="s">
        <v>49</v>
      </c>
      <c r="D22" s="66">
        <f>HLOOKUP($E$4,$AC$18:$AW$29,5,TRUE)</f>
        <v>86.787000000000006</v>
      </c>
      <c r="E22" s="154" t="s">
        <v>42</v>
      </c>
      <c r="F22" s="165"/>
      <c r="H22" s="128"/>
      <c r="I22" s="124" t="s">
        <v>50</v>
      </c>
      <c r="J22" s="136">
        <f>R26</f>
        <v>1.000962927522095</v>
      </c>
      <c r="K22" s="168"/>
      <c r="L22" s="69"/>
      <c r="M22" s="170"/>
      <c r="N22" s="69"/>
      <c r="O22" s="69"/>
      <c r="P22" s="69"/>
      <c r="Q22" s="110" t="s">
        <v>38</v>
      </c>
      <c r="R22" s="171">
        <f>1+R20/(R14*R16)^0.5</f>
        <v>1.0006223680406132</v>
      </c>
      <c r="S22" s="70">
        <v>0.47499999999999998</v>
      </c>
      <c r="T22" s="70">
        <v>0.62</v>
      </c>
      <c r="U22" s="69"/>
      <c r="V22" s="69"/>
      <c r="W22" s="69"/>
      <c r="AA22" s="145"/>
      <c r="AB22" s="166"/>
      <c r="AC22" s="167" t="s">
        <v>49</v>
      </c>
      <c r="AD22" s="158">
        <v>87.17</v>
      </c>
      <c r="AE22" s="158">
        <v>86.787000000000006</v>
      </c>
      <c r="AF22" s="158">
        <v>7.0789999999999997</v>
      </c>
      <c r="AG22" s="158">
        <v>37.35</v>
      </c>
      <c r="AH22" s="158">
        <v>24.672999999999998</v>
      </c>
      <c r="AI22" s="159">
        <v>77.415999999999997</v>
      </c>
      <c r="AJ22" s="159">
        <v>21.446000000000002</v>
      </c>
      <c r="AK22" s="159">
        <v>72.597999999999999</v>
      </c>
      <c r="AL22" s="159">
        <v>27.001000000000001</v>
      </c>
      <c r="AM22" s="159">
        <v>22.588000000000001</v>
      </c>
      <c r="AN22" s="160">
        <v>32.936999999999998</v>
      </c>
      <c r="AO22" s="161">
        <v>36.636000000000003</v>
      </c>
      <c r="AP22" s="161">
        <v>37.545000000000002</v>
      </c>
      <c r="AQ22" s="161">
        <v>83.228999999999999</v>
      </c>
      <c r="AR22" s="162">
        <v>0</v>
      </c>
      <c r="AS22" s="160">
        <v>15.351000000000001</v>
      </c>
      <c r="AT22" s="160"/>
      <c r="AU22" s="163">
        <v>76.741</v>
      </c>
      <c r="AV22" s="309" t="s">
        <v>49</v>
      </c>
      <c r="AW22" s="310"/>
      <c r="AX22" s="134"/>
      <c r="AY22" s="135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</row>
    <row r="23" spans="2:64" ht="15" customHeight="1">
      <c r="B23" s="107"/>
      <c r="C23" s="164" t="s">
        <v>51</v>
      </c>
      <c r="D23" s="66">
        <f>HLOOKUP($E$4,$AC$18:$AW$29,6,TRUE)</f>
        <v>4.0279999999999996</v>
      </c>
      <c r="E23" s="154" t="s">
        <v>52</v>
      </c>
      <c r="F23" s="165"/>
      <c r="G23" s="91"/>
      <c r="H23" s="128"/>
      <c r="I23" s="68"/>
      <c r="J23" s="75"/>
      <c r="K23" s="168"/>
      <c r="L23" s="69"/>
      <c r="M23" s="69"/>
      <c r="N23" s="69"/>
      <c r="O23" s="69"/>
      <c r="P23" s="69"/>
      <c r="Q23" s="69"/>
      <c r="R23" s="172"/>
      <c r="S23" s="70">
        <v>0.5</v>
      </c>
      <c r="T23" s="70">
        <v>0.624</v>
      </c>
      <c r="U23" s="69"/>
      <c r="V23" s="69"/>
      <c r="W23" s="69"/>
      <c r="AA23" s="145"/>
      <c r="AB23" s="166"/>
      <c r="AC23" s="167" t="s">
        <v>51</v>
      </c>
      <c r="AD23" s="158">
        <v>5.7058</v>
      </c>
      <c r="AE23" s="158">
        <v>4.0279999999999996</v>
      </c>
      <c r="AF23" s="158">
        <v>0.42499999999999999</v>
      </c>
      <c r="AG23" s="158">
        <v>5.6340000000000003</v>
      </c>
      <c r="AH23" s="158">
        <v>5.2759999999999998</v>
      </c>
      <c r="AI23" s="159">
        <v>6.508</v>
      </c>
      <c r="AJ23" s="159">
        <v>4.1459999999999999</v>
      </c>
      <c r="AK23" s="159">
        <v>5.077</v>
      </c>
      <c r="AL23" s="159">
        <v>5.4269999999999996</v>
      </c>
      <c r="AM23" s="159">
        <v>4.2309999999999999</v>
      </c>
      <c r="AN23" s="160">
        <v>4.4539999999999997</v>
      </c>
      <c r="AO23" s="161">
        <v>5.157</v>
      </c>
      <c r="AP23" s="161">
        <v>5.5129999999999999</v>
      </c>
      <c r="AQ23" s="161">
        <v>9.06</v>
      </c>
      <c r="AR23" s="162">
        <v>0</v>
      </c>
      <c r="AS23" s="160">
        <v>4.3949999999999996</v>
      </c>
      <c r="AT23" s="160"/>
      <c r="AU23" s="163">
        <v>5.7889999999999997</v>
      </c>
      <c r="AV23" s="309" t="s">
        <v>51</v>
      </c>
      <c r="AW23" s="311"/>
      <c r="AX23" s="134"/>
      <c r="AY23" s="135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</row>
    <row r="24" spans="2:64" ht="15" customHeight="1">
      <c r="B24" s="173"/>
      <c r="C24" s="164" t="s">
        <v>53</v>
      </c>
      <c r="D24" s="66">
        <f>HLOOKUP($E$4,$AC$18:$AW$29,7,TRUE)</f>
        <v>2.1480000000000001</v>
      </c>
      <c r="E24" s="154" t="s">
        <v>42</v>
      </c>
      <c r="F24" s="165"/>
      <c r="I24" s="124" t="s">
        <v>54</v>
      </c>
      <c r="J24" s="136">
        <f>R28</f>
        <v>1.0219634235373123</v>
      </c>
      <c r="K24" s="168"/>
      <c r="L24" s="69"/>
      <c r="M24" s="69"/>
      <c r="N24" s="69"/>
      <c r="O24" s="69"/>
      <c r="P24" s="69"/>
      <c r="Q24" s="110" t="s">
        <v>46</v>
      </c>
      <c r="R24" s="171">
        <f>(1/J12)^0.5</f>
        <v>1.2280342685287913</v>
      </c>
      <c r="S24" s="70">
        <v>0.52500000000000002</v>
      </c>
      <c r="T24" s="70">
        <v>0.628</v>
      </c>
      <c r="U24" s="69"/>
      <c r="V24" s="69"/>
      <c r="W24" s="69"/>
      <c r="AA24" s="145"/>
      <c r="AB24" s="166"/>
      <c r="AC24" s="167" t="s">
        <v>53</v>
      </c>
      <c r="AD24" s="158">
        <v>2.6385999999999998</v>
      </c>
      <c r="AE24" s="158">
        <v>2.1480000000000001</v>
      </c>
      <c r="AF24" s="158">
        <v>0.189</v>
      </c>
      <c r="AG24" s="158">
        <v>3.6160000000000001</v>
      </c>
      <c r="AH24" s="158">
        <v>4.2409999999999997</v>
      </c>
      <c r="AI24" s="159">
        <v>2.7440000000000002</v>
      </c>
      <c r="AJ24" s="159">
        <v>3.306</v>
      </c>
      <c r="AK24" s="159">
        <v>2.028</v>
      </c>
      <c r="AL24" s="159">
        <v>4.4390000000000001</v>
      </c>
      <c r="AM24" s="159">
        <v>4.4809999999999999</v>
      </c>
      <c r="AN24" s="160">
        <v>3.3540000000000001</v>
      </c>
      <c r="AO24" s="161">
        <v>3.7879999999999998</v>
      </c>
      <c r="AP24" s="161">
        <v>3.3879999999999999</v>
      </c>
      <c r="AQ24" s="161">
        <v>3.6859999999999999</v>
      </c>
      <c r="AR24" s="162">
        <v>0</v>
      </c>
      <c r="AS24" s="160">
        <v>4.2990000000000004</v>
      </c>
      <c r="AT24" s="160"/>
      <c r="AU24" s="163">
        <v>2.3940000000000001</v>
      </c>
      <c r="AV24" s="309" t="s">
        <v>53</v>
      </c>
      <c r="AW24" s="310"/>
      <c r="AX24" s="134"/>
      <c r="AY24" s="135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</row>
    <row r="25" spans="2:64" ht="15" customHeight="1">
      <c r="B25" s="107" t="s">
        <v>55</v>
      </c>
      <c r="C25" s="164" t="s">
        <v>56</v>
      </c>
      <c r="D25" s="66">
        <f>HLOOKUP($E$4,$AC$18:$AW$29,8,TRUE)</f>
        <v>0.80900000000000005</v>
      </c>
      <c r="E25" s="154" t="s">
        <v>42</v>
      </c>
      <c r="F25" s="165"/>
      <c r="G25" s="91"/>
      <c r="H25" s="128"/>
      <c r="I25" s="68"/>
      <c r="K25" s="168"/>
      <c r="L25" s="69"/>
      <c r="M25" s="69"/>
      <c r="N25" s="69"/>
      <c r="O25" s="69"/>
      <c r="P25" s="69"/>
      <c r="Q25" s="69"/>
      <c r="R25" s="172"/>
      <c r="S25" s="70">
        <v>0.55000000000000004</v>
      </c>
      <c r="T25" s="70">
        <v>0.63400000000000001</v>
      </c>
      <c r="U25" s="69"/>
      <c r="V25" s="69"/>
      <c r="W25" s="69"/>
      <c r="AA25" s="145"/>
      <c r="AB25" s="166"/>
      <c r="AC25" s="167" t="s">
        <v>56</v>
      </c>
      <c r="AD25" s="158">
        <v>1.1037999999999999</v>
      </c>
      <c r="AE25" s="158">
        <v>0.80900000000000005</v>
      </c>
      <c r="AF25" s="158">
        <v>0</v>
      </c>
      <c r="AG25" s="158">
        <v>0.66400000000000003</v>
      </c>
      <c r="AH25" s="158">
        <v>0.82199999999999995</v>
      </c>
      <c r="AI25" s="159">
        <v>0.34200000000000003</v>
      </c>
      <c r="AJ25" s="159">
        <v>0.65900000000000003</v>
      </c>
      <c r="AK25" s="159">
        <v>0.247</v>
      </c>
      <c r="AL25" s="159">
        <v>0.85399999999999998</v>
      </c>
      <c r="AM25" s="159">
        <v>1.1259999999999999</v>
      </c>
      <c r="AN25" s="160">
        <v>0.66400000000000003</v>
      </c>
      <c r="AO25" s="161">
        <v>0.68799999999999994</v>
      </c>
      <c r="AP25" s="161">
        <v>0.59899999999999998</v>
      </c>
      <c r="AQ25" s="161">
        <v>0.50600000000000001</v>
      </c>
      <c r="AR25" s="162">
        <v>0</v>
      </c>
      <c r="AS25" s="160">
        <v>0.93600000000000005</v>
      </c>
      <c r="AT25" s="160"/>
      <c r="AU25" s="163">
        <v>0.31900000000000001</v>
      </c>
      <c r="AV25" s="309" t="s">
        <v>56</v>
      </c>
      <c r="AW25" s="311"/>
      <c r="AX25" s="134"/>
      <c r="AY25" s="135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</row>
    <row r="26" spans="2:64" ht="15" customHeight="1">
      <c r="B26" s="107"/>
      <c r="C26" s="164" t="s">
        <v>57</v>
      </c>
      <c r="D26" s="66">
        <f>HLOOKUP($E$4,$AC$18:$AW$29,9,TRUE)</f>
        <v>0.80900000000000005</v>
      </c>
      <c r="E26" s="154" t="s">
        <v>42</v>
      </c>
      <c r="F26" s="165"/>
      <c r="I26" s="68"/>
      <c r="K26" s="168"/>
      <c r="L26" s="69"/>
      <c r="M26" s="69"/>
      <c r="N26" s="69"/>
      <c r="O26" s="69"/>
      <c r="P26" s="69"/>
      <c r="Q26" s="110" t="s">
        <v>50</v>
      </c>
      <c r="R26" s="171">
        <f>(520/(460+J41))^0.5</f>
        <v>1.000962927522095</v>
      </c>
      <c r="S26" s="70">
        <v>0.57499999999999996</v>
      </c>
      <c r="T26" s="70">
        <v>0.64</v>
      </c>
      <c r="U26" s="69"/>
      <c r="V26" s="69"/>
      <c r="W26" s="69"/>
      <c r="AA26" s="145"/>
      <c r="AB26" s="166"/>
      <c r="AC26" s="167" t="s">
        <v>57</v>
      </c>
      <c r="AD26" s="158">
        <v>1.296</v>
      </c>
      <c r="AE26" s="158">
        <v>0.80900000000000005</v>
      </c>
      <c r="AF26" s="158">
        <v>0.111</v>
      </c>
      <c r="AG26" s="158">
        <v>1.607</v>
      </c>
      <c r="AH26" s="158">
        <v>1.913</v>
      </c>
      <c r="AI26" s="159">
        <v>0.88600000000000001</v>
      </c>
      <c r="AJ26" s="159">
        <v>1.56</v>
      </c>
      <c r="AK26" s="159">
        <v>0.48099999999999998</v>
      </c>
      <c r="AL26" s="159">
        <v>1.986</v>
      </c>
      <c r="AM26" s="159">
        <v>2.895</v>
      </c>
      <c r="AN26" s="160">
        <v>1.577</v>
      </c>
      <c r="AO26" s="161">
        <v>1.5389999999999999</v>
      </c>
      <c r="AP26" s="161">
        <v>1.623</v>
      </c>
      <c r="AQ26" s="161">
        <v>0.96499999999999997</v>
      </c>
      <c r="AR26" s="162">
        <v>0</v>
      </c>
      <c r="AS26" s="160">
        <v>2.2599999999999998</v>
      </c>
      <c r="AT26" s="160"/>
      <c r="AU26" s="163">
        <v>0.71799999999999997</v>
      </c>
      <c r="AV26" s="309" t="s">
        <v>57</v>
      </c>
      <c r="AW26" s="310"/>
      <c r="AX26" s="134"/>
      <c r="AY26" s="135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</row>
    <row r="27" spans="2:64" ht="15" customHeight="1">
      <c r="B27" s="107"/>
      <c r="C27" s="164" t="s">
        <v>58</v>
      </c>
      <c r="D27" s="66">
        <f>HLOOKUP($E$4,$AC$18:$AW$29,10,TRUE)</f>
        <v>0.41</v>
      </c>
      <c r="E27" s="154" t="s">
        <v>42</v>
      </c>
      <c r="F27" s="165"/>
      <c r="G27" s="91"/>
      <c r="H27" s="128"/>
      <c r="I27" s="68"/>
      <c r="K27" s="168"/>
      <c r="L27" s="69"/>
      <c r="M27" s="69"/>
      <c r="N27" s="69"/>
      <c r="O27" s="69"/>
      <c r="P27" s="69"/>
      <c r="Q27" s="69"/>
      <c r="R27" s="172"/>
      <c r="S27" s="70">
        <v>0.6</v>
      </c>
      <c r="T27" s="70">
        <v>0.64700000000000002</v>
      </c>
      <c r="U27" s="69"/>
      <c r="V27" s="69"/>
      <c r="W27" s="69"/>
      <c r="AA27" s="145"/>
      <c r="AB27" s="166"/>
      <c r="AC27" s="167" t="s">
        <v>58</v>
      </c>
      <c r="AD27" s="158">
        <v>0.111</v>
      </c>
      <c r="AE27" s="158">
        <v>0.41</v>
      </c>
      <c r="AF27" s="158">
        <v>0</v>
      </c>
      <c r="AG27" s="158">
        <v>0.51900000000000002</v>
      </c>
      <c r="AH27" s="158">
        <v>0.55600000000000005</v>
      </c>
      <c r="AI27" s="159">
        <v>0.245</v>
      </c>
      <c r="AJ27" s="159">
        <v>0.436</v>
      </c>
      <c r="AK27" s="159">
        <v>9.6000000000000002E-2</v>
      </c>
      <c r="AL27" s="159">
        <v>0.53500000000000003</v>
      </c>
      <c r="AM27" s="159">
        <v>1.0029999999999999</v>
      </c>
      <c r="AN27" s="160">
        <v>0.53900000000000003</v>
      </c>
      <c r="AO27" s="161">
        <v>0.377</v>
      </c>
      <c r="AP27" s="161">
        <v>0.20599999999999999</v>
      </c>
      <c r="AQ27" s="161">
        <v>0.20499999999999999</v>
      </c>
      <c r="AR27" s="162">
        <v>0</v>
      </c>
      <c r="AS27" s="160">
        <v>0.73599999999999999</v>
      </c>
      <c r="AT27" s="160"/>
      <c r="AU27" s="163">
        <v>0.13700000000000001</v>
      </c>
      <c r="AV27" s="309" t="s">
        <v>58</v>
      </c>
      <c r="AW27" s="310"/>
      <c r="AX27" s="134"/>
      <c r="AY27" s="135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</row>
    <row r="28" spans="2:64" ht="15" customHeight="1">
      <c r="B28" s="107"/>
      <c r="C28" s="164" t="s">
        <v>59</v>
      </c>
      <c r="D28" s="66">
        <f>HLOOKUP($E$4,$AC$18:$AW$29,11,TRUE)</f>
        <v>0.219</v>
      </c>
      <c r="E28" s="154" t="s">
        <v>42</v>
      </c>
      <c r="F28" s="165"/>
      <c r="G28" s="91"/>
      <c r="H28" s="128"/>
      <c r="I28" s="124" t="s">
        <v>60</v>
      </c>
      <c r="J28" s="75">
        <f>R33</f>
        <v>674.44</v>
      </c>
      <c r="K28" s="168"/>
      <c r="L28" s="69"/>
      <c r="M28" s="69"/>
      <c r="N28" s="69"/>
      <c r="O28" s="69"/>
      <c r="P28" s="69"/>
      <c r="Q28" s="110" t="s">
        <v>54</v>
      </c>
      <c r="R28" s="174">
        <f>+Fpv!W68</f>
        <v>1.0219634235373123</v>
      </c>
      <c r="S28" s="70">
        <v>0.625</v>
      </c>
      <c r="T28" s="70">
        <v>0.65600000000000003</v>
      </c>
      <c r="U28" s="69"/>
      <c r="V28" s="69"/>
      <c r="W28" s="69"/>
      <c r="AA28" s="145"/>
      <c r="AB28" s="166"/>
      <c r="AC28" s="167" t="s">
        <v>59</v>
      </c>
      <c r="AD28" s="158">
        <v>0.01</v>
      </c>
      <c r="AE28" s="158">
        <v>0.219</v>
      </c>
      <c r="AF28" s="158">
        <v>0</v>
      </c>
      <c r="AG28" s="158">
        <v>0.72899999999999998</v>
      </c>
      <c r="AH28" s="158">
        <v>0.78400000000000003</v>
      </c>
      <c r="AI28" s="159">
        <v>0.31</v>
      </c>
      <c r="AJ28" s="159">
        <v>0.63700000000000001</v>
      </c>
      <c r="AK28" s="159">
        <v>0.107</v>
      </c>
      <c r="AL28" s="159">
        <v>0.72799999999999998</v>
      </c>
      <c r="AM28" s="159">
        <v>1.401</v>
      </c>
      <c r="AN28" s="160">
        <v>0.751</v>
      </c>
      <c r="AO28" s="161">
        <v>0.47599999999999998</v>
      </c>
      <c r="AP28" s="161">
        <v>0.45700000000000002</v>
      </c>
      <c r="AQ28" s="161">
        <v>0.20399999999999999</v>
      </c>
      <c r="AR28" s="162">
        <v>0</v>
      </c>
      <c r="AS28" s="160">
        <v>0.88100000000000001</v>
      </c>
      <c r="AT28" s="160"/>
      <c r="AU28" s="163">
        <v>0.216</v>
      </c>
      <c r="AV28" s="309" t="s">
        <v>59</v>
      </c>
      <c r="AW28" s="310"/>
      <c r="AX28" s="134"/>
      <c r="AY28" s="135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</row>
    <row r="29" spans="2:64" ht="12" customHeight="1" thickBot="1">
      <c r="B29" s="96"/>
      <c r="C29" s="175" t="s">
        <v>61</v>
      </c>
      <c r="D29" s="67">
        <f>HLOOKUP($E$4,$AC$18:$AW$29,12,TRUE)</f>
        <v>0.58499999999999996</v>
      </c>
      <c r="E29" s="176" t="s">
        <v>42</v>
      </c>
      <c r="F29" s="177"/>
      <c r="G29" s="177"/>
      <c r="H29" s="178"/>
      <c r="I29" s="179"/>
      <c r="J29" s="179"/>
      <c r="K29" s="168"/>
      <c r="L29" s="69"/>
      <c r="M29" s="69"/>
      <c r="N29" s="69"/>
      <c r="O29" s="69"/>
      <c r="P29" s="69"/>
      <c r="Q29" s="69"/>
      <c r="R29" s="69"/>
      <c r="S29" s="70">
        <v>0.65</v>
      </c>
      <c r="T29" s="70">
        <v>0.66600000000000004</v>
      </c>
      <c r="U29" s="69"/>
      <c r="V29" s="69"/>
      <c r="W29" s="69"/>
      <c r="AA29" s="145"/>
      <c r="AB29" s="166"/>
      <c r="AC29" s="180" t="s">
        <v>62</v>
      </c>
      <c r="AD29" s="181">
        <v>0.17499999999999999</v>
      </c>
      <c r="AE29" s="181">
        <v>0.58499999999999996</v>
      </c>
      <c r="AF29" s="181">
        <v>9.4E-2</v>
      </c>
      <c r="AG29" s="181">
        <v>1.1419999999999999</v>
      </c>
      <c r="AH29" s="181">
        <v>1.198</v>
      </c>
      <c r="AI29" s="182">
        <v>0.93</v>
      </c>
      <c r="AJ29" s="183">
        <v>0.26200000000000001</v>
      </c>
      <c r="AK29" s="159">
        <v>0.36099999999999999</v>
      </c>
      <c r="AL29" s="159">
        <v>0.67200000000000004</v>
      </c>
      <c r="AM29" s="182">
        <v>1.6479999999999999</v>
      </c>
      <c r="AN29" s="184">
        <v>0.88200000000000001</v>
      </c>
      <c r="AO29" s="161">
        <v>0.26700000000000002</v>
      </c>
      <c r="AP29" s="161">
        <v>0.26700000000000002</v>
      </c>
      <c r="AQ29" s="185">
        <v>0.58699999999999997</v>
      </c>
      <c r="AR29" s="162"/>
      <c r="AS29" s="160">
        <v>0.25900000000000001</v>
      </c>
      <c r="AT29" s="160"/>
      <c r="AU29" s="186">
        <v>1.1499999999999999</v>
      </c>
      <c r="AV29" s="312" t="s">
        <v>62</v>
      </c>
      <c r="AW29" s="313"/>
      <c r="AX29" s="135"/>
      <c r="AY29" s="135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</row>
    <row r="30" spans="2:64" ht="12" customHeight="1" thickBot="1">
      <c r="B30" s="187"/>
      <c r="C30" s="83"/>
      <c r="F30" s="91"/>
      <c r="G30" s="91"/>
      <c r="H30" s="128"/>
      <c r="I30" s="68"/>
      <c r="K30" s="168"/>
      <c r="L30" s="69"/>
      <c r="M30" s="69"/>
      <c r="N30" s="69"/>
      <c r="O30" s="69"/>
      <c r="P30" s="69"/>
      <c r="Q30" s="69"/>
      <c r="R30" s="69"/>
      <c r="S30" s="70"/>
      <c r="T30" s="70"/>
      <c r="U30" s="69"/>
      <c r="V30" s="69"/>
      <c r="W30" s="69"/>
      <c r="AA30" s="134"/>
      <c r="AB30" s="188"/>
      <c r="AC30" s="157" t="s">
        <v>63</v>
      </c>
      <c r="AD30" s="158">
        <v>11492</v>
      </c>
      <c r="AE30" s="158">
        <v>3179.13</v>
      </c>
      <c r="AF30" s="158">
        <v>820.09</v>
      </c>
      <c r="AG30" s="158">
        <v>6663.25</v>
      </c>
      <c r="AH30" s="158">
        <v>5796.24</v>
      </c>
      <c r="AI30" s="159">
        <v>9614</v>
      </c>
      <c r="AJ30" s="159">
        <v>4473.1899999999996</v>
      </c>
      <c r="AK30" s="159">
        <v>8240.7000000000007</v>
      </c>
      <c r="AL30" s="159">
        <v>5854.07</v>
      </c>
      <c r="AM30" s="159">
        <v>6443.67</v>
      </c>
      <c r="AN30" s="160">
        <v>5913.92</v>
      </c>
      <c r="AO30" s="161">
        <v>6036.33</v>
      </c>
      <c r="AP30" s="161">
        <v>6015.33</v>
      </c>
      <c r="AQ30" s="161">
        <v>10587.1</v>
      </c>
      <c r="AR30" s="162"/>
      <c r="AS30" s="160"/>
      <c r="AT30" s="160"/>
      <c r="AU30" s="186"/>
      <c r="AV30" s="304" t="s">
        <v>63</v>
      </c>
      <c r="AW30" s="305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</row>
    <row r="31" spans="2:64" ht="18" customHeight="1" thickTop="1" thickBot="1">
      <c r="B31" s="189"/>
      <c r="C31" s="68" t="s">
        <v>64</v>
      </c>
      <c r="D31" s="190">
        <f>D34/24</f>
        <v>2219.388445432528</v>
      </c>
      <c r="E31" s="68" t="s">
        <v>65</v>
      </c>
      <c r="F31" s="191" t="s">
        <v>66</v>
      </c>
      <c r="G31" s="192">
        <f>IF(D14=0,4.026,D14)</f>
        <v>3</v>
      </c>
      <c r="H31" s="72" t="s">
        <v>67</v>
      </c>
      <c r="I31" s="72"/>
      <c r="J31" s="193">
        <f>IF(D15=0,10,D15)</f>
        <v>100</v>
      </c>
      <c r="K31" s="168"/>
      <c r="L31" s="69"/>
      <c r="M31" s="69"/>
      <c r="N31" s="69"/>
      <c r="O31" s="69"/>
      <c r="P31" s="69"/>
      <c r="Q31" s="69"/>
      <c r="R31" s="69"/>
      <c r="S31" s="70"/>
      <c r="T31" s="70"/>
      <c r="U31" s="69"/>
      <c r="V31" s="69"/>
      <c r="W31" s="69"/>
      <c r="AA31" s="134"/>
      <c r="AB31" s="194" t="s">
        <v>68</v>
      </c>
      <c r="AC31" s="195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7"/>
      <c r="AO31" s="197"/>
      <c r="AP31" s="198"/>
      <c r="AQ31" s="199"/>
      <c r="AR31" s="200"/>
      <c r="AS31" s="200"/>
      <c r="AT31" s="200"/>
      <c r="AU31" s="201"/>
      <c r="AV31" s="194" t="s">
        <v>68</v>
      </c>
      <c r="AW31" s="195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</row>
    <row r="32" spans="2:64" ht="12" customHeight="1" thickTop="1" thickBot="1">
      <c r="B32" s="89"/>
      <c r="C32" s="83"/>
      <c r="F32" s="91"/>
      <c r="G32" s="202"/>
      <c r="H32" s="128"/>
      <c r="I32" s="68"/>
      <c r="K32" s="168"/>
      <c r="L32" s="69"/>
      <c r="M32" s="69"/>
      <c r="N32" s="69"/>
      <c r="O32" s="69"/>
      <c r="P32" s="69"/>
      <c r="Q32" s="95" t="s">
        <v>69</v>
      </c>
      <c r="R32" s="69">
        <f>VLOOKUP(D13,B60:C142,2)</f>
        <v>14</v>
      </c>
      <c r="S32" s="70">
        <v>0.67500000000000004</v>
      </c>
      <c r="T32" s="70">
        <v>0.67900000000000005</v>
      </c>
      <c r="U32" s="69"/>
      <c r="V32" s="69"/>
      <c r="W32" s="69"/>
      <c r="AA32" s="134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</row>
    <row r="33" spans="1:86" ht="12" customHeight="1" thickBot="1">
      <c r="B33" s="89"/>
      <c r="F33" s="191" t="s">
        <v>70</v>
      </c>
      <c r="G33" s="192">
        <f>D13</f>
        <v>1.8109999999999999</v>
      </c>
      <c r="H33" s="68" t="s">
        <v>71</v>
      </c>
      <c r="I33" s="68"/>
      <c r="J33" s="193">
        <f>IF($D$16=0,100,$D$16)</f>
        <v>200</v>
      </c>
      <c r="K33" s="168"/>
      <c r="L33" s="69"/>
      <c r="M33" s="69"/>
      <c r="N33" s="69"/>
      <c r="O33" s="69"/>
      <c r="P33" s="69"/>
      <c r="Q33" s="110" t="s">
        <v>72</v>
      </c>
      <c r="R33" s="111">
        <f>HLOOKUP(G31,B60:AM142,R32)</f>
        <v>674.44</v>
      </c>
      <c r="S33" s="70">
        <v>0.7</v>
      </c>
      <c r="T33" s="70">
        <v>0.69299999999999995</v>
      </c>
      <c r="U33" s="69"/>
      <c r="V33" s="69"/>
      <c r="W33" s="69"/>
      <c r="AA33" s="134"/>
      <c r="AB33" s="203" t="s">
        <v>73</v>
      </c>
      <c r="AC33" s="204"/>
      <c r="AD33" s="205">
        <f>SUM(AD20:AD29)</f>
        <v>99.991500000000016</v>
      </c>
      <c r="AE33" s="206">
        <f t="shared" ref="AE33:AM33" si="0">SUM(AE20:AE29)</f>
        <v>99.999999999999986</v>
      </c>
      <c r="AF33" s="205">
        <f t="shared" si="0"/>
        <v>99.999999999999986</v>
      </c>
      <c r="AG33" s="206">
        <f t="shared" si="0"/>
        <v>100</v>
      </c>
      <c r="AH33" s="205">
        <f t="shared" si="0"/>
        <v>99.999999999999986</v>
      </c>
      <c r="AI33" s="206">
        <f t="shared" si="0"/>
        <v>99.998999999999995</v>
      </c>
      <c r="AJ33" s="205">
        <f t="shared" si="0"/>
        <v>100.00000000000001</v>
      </c>
      <c r="AK33" s="206">
        <f t="shared" si="0"/>
        <v>100.00000000000001</v>
      </c>
      <c r="AL33" s="205">
        <f t="shared" si="0"/>
        <v>99.999999999999986</v>
      </c>
      <c r="AM33" s="206">
        <f t="shared" si="0"/>
        <v>99.999999999999986</v>
      </c>
      <c r="AN33" s="206">
        <f t="shared" ref="AN33:AU33" si="1">SUM(AN20:AN29)</f>
        <v>100.009</v>
      </c>
      <c r="AO33" s="205">
        <f t="shared" si="1"/>
        <v>99.999999999999986</v>
      </c>
      <c r="AP33" s="206">
        <f t="shared" si="1"/>
        <v>100.00000000000001</v>
      </c>
      <c r="AQ33" s="205">
        <f t="shared" si="1"/>
        <v>100.00000000000001</v>
      </c>
      <c r="AR33" s="206">
        <f t="shared" si="1"/>
        <v>0</v>
      </c>
      <c r="AS33" s="205">
        <f t="shared" si="1"/>
        <v>98.765000000000029</v>
      </c>
      <c r="AT33" s="206">
        <f t="shared" si="1"/>
        <v>0</v>
      </c>
      <c r="AU33" s="205">
        <f t="shared" si="1"/>
        <v>100.00400000000002</v>
      </c>
      <c r="AV33" s="207" t="s">
        <v>73</v>
      </c>
      <c r="AW33" s="20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</row>
    <row r="34" spans="1:86" ht="31.2" customHeight="1">
      <c r="B34" s="89"/>
      <c r="C34" s="208" t="s">
        <v>74</v>
      </c>
      <c r="D34" s="209">
        <f>(D11*D12)^0.5*D48</f>
        <v>53265.322690380672</v>
      </c>
      <c r="E34" s="210" t="s">
        <v>75</v>
      </c>
      <c r="F34" s="211" t="s">
        <v>76</v>
      </c>
      <c r="G34" s="212">
        <f>D13/D14</f>
        <v>0.60366666666666668</v>
      </c>
      <c r="H34" s="128"/>
      <c r="I34" s="68"/>
      <c r="J34" s="83"/>
      <c r="K34" s="168"/>
      <c r="L34" s="69"/>
      <c r="M34" s="69"/>
      <c r="N34" s="69"/>
      <c r="O34" s="69"/>
      <c r="P34" s="69"/>
      <c r="Q34" s="69"/>
      <c r="R34" s="69"/>
      <c r="S34" s="70">
        <v>0.72499999999999998</v>
      </c>
      <c r="T34" s="70">
        <v>0.71</v>
      </c>
      <c r="U34" s="69"/>
      <c r="V34" s="69"/>
      <c r="W34" s="69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</row>
    <row r="35" spans="1:86" ht="15" customHeight="1">
      <c r="B35" s="107"/>
      <c r="C35" s="213"/>
      <c r="D35" s="214"/>
      <c r="E35" s="215"/>
      <c r="F35" s="91"/>
      <c r="G35" s="91"/>
      <c r="H35" s="91" t="s">
        <v>77</v>
      </c>
      <c r="I35" s="68"/>
      <c r="J35" s="216">
        <f>D11*J31/100-1</f>
        <v>4</v>
      </c>
      <c r="K35" s="168"/>
      <c r="L35" s="69"/>
      <c r="M35" s="69"/>
      <c r="N35" s="69"/>
      <c r="O35" s="69"/>
      <c r="P35" s="69"/>
      <c r="Q35" s="110" t="s">
        <v>78</v>
      </c>
      <c r="R35" s="217">
        <f>R33*R28*R26*R24*R22*W9</f>
        <v>855.47012437665092</v>
      </c>
      <c r="S35" s="70">
        <v>0.75</v>
      </c>
      <c r="T35" s="70">
        <v>0.73099999999999998</v>
      </c>
      <c r="U35" s="69"/>
      <c r="V35" s="69"/>
      <c r="W35" s="69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86" ht="12" customHeight="1">
      <c r="B36" s="89"/>
      <c r="C36" s="191"/>
      <c r="F36" s="91"/>
      <c r="G36" s="91"/>
      <c r="H36" s="128"/>
      <c r="I36" s="68"/>
      <c r="K36" s="168"/>
      <c r="L36" s="69"/>
      <c r="M36" s="69"/>
      <c r="N36" s="69"/>
      <c r="O36" s="69"/>
      <c r="P36" s="69"/>
      <c r="Q36" s="69"/>
      <c r="R36" s="69"/>
      <c r="S36" s="70"/>
      <c r="T36" s="70"/>
      <c r="U36" s="70"/>
      <c r="V36" s="69"/>
      <c r="W36" s="69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86" ht="12" customHeight="1">
      <c r="B37" s="89"/>
      <c r="C37" s="191" t="s">
        <v>64</v>
      </c>
      <c r="D37" s="218">
        <f>D34*0.03531</f>
        <v>1880.7985441973415</v>
      </c>
      <c r="E37" s="68" t="s">
        <v>79</v>
      </c>
      <c r="F37" s="219">
        <f>D37/1000</f>
        <v>1.8807985441973414</v>
      </c>
      <c r="G37" s="68" t="s">
        <v>80</v>
      </c>
      <c r="H37" s="128"/>
      <c r="I37" s="68" t="s">
        <v>81</v>
      </c>
      <c r="J37" s="220">
        <f>D11*J31/100*14.2233-14.73</f>
        <v>56.386499999999998</v>
      </c>
      <c r="K37" s="168"/>
      <c r="L37" s="221"/>
      <c r="M37" s="221"/>
      <c r="N37" s="69"/>
      <c r="O37" s="69"/>
      <c r="P37" s="222"/>
      <c r="Q37" s="69"/>
      <c r="R37" s="69"/>
      <c r="S37" s="70"/>
      <c r="T37" s="70"/>
      <c r="U37" s="70"/>
      <c r="V37" s="69"/>
      <c r="W37" s="69"/>
      <c r="AA37" s="134"/>
      <c r="AB37" s="134"/>
      <c r="AC37" s="134"/>
      <c r="AD37" s="134"/>
      <c r="AE37" s="134"/>
      <c r="AF37" s="134"/>
      <c r="AG37" s="223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</row>
    <row r="38" spans="1:86" ht="6" customHeight="1">
      <c r="B38" s="89"/>
      <c r="C38" s="83"/>
      <c r="F38" s="91"/>
      <c r="G38" s="91"/>
      <c r="H38" s="128"/>
      <c r="I38" s="68"/>
      <c r="K38" s="168"/>
      <c r="L38" s="69"/>
      <c r="M38" s="69"/>
      <c r="N38" s="69"/>
      <c r="O38" s="69"/>
      <c r="P38" s="69"/>
      <c r="Q38" s="69"/>
      <c r="R38" s="69"/>
      <c r="S38" s="70"/>
      <c r="T38" s="70"/>
      <c r="U38" s="70"/>
      <c r="V38" s="69"/>
      <c r="W38" s="69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</row>
    <row r="39" spans="1:86">
      <c r="A39"/>
      <c r="B39" s="173"/>
      <c r="C39" s="223"/>
      <c r="D39" s="224"/>
      <c r="F39" s="91"/>
      <c r="G39" s="91"/>
      <c r="H39" s="128"/>
      <c r="I39" s="225" t="s">
        <v>82</v>
      </c>
      <c r="J39" s="216">
        <f>D17</f>
        <v>15</v>
      </c>
      <c r="K39" s="226"/>
      <c r="L39" s="69"/>
      <c r="M39" s="69"/>
      <c r="N39" s="69"/>
      <c r="O39" s="69"/>
      <c r="P39" s="69"/>
      <c r="Q39" s="69"/>
      <c r="R39" s="69"/>
      <c r="S39" s="70"/>
      <c r="T39" s="70"/>
      <c r="U39" s="70"/>
      <c r="V39" s="69"/>
      <c r="W39" s="69"/>
      <c r="AA39" s="134"/>
      <c r="AB39" s="134"/>
      <c r="AC39" s="134"/>
      <c r="AD39" s="134"/>
      <c r="AE39" s="227"/>
      <c r="AF39" s="227"/>
      <c r="AG39" s="227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86" ht="6.75" customHeight="1">
      <c r="B40" s="228"/>
      <c r="C40" s="223"/>
      <c r="F40" s="91"/>
      <c r="G40" s="91"/>
      <c r="H40" s="128"/>
      <c r="I40" s="68"/>
      <c r="J40" s="229"/>
      <c r="K40" s="226"/>
      <c r="L40" s="69"/>
      <c r="M40" s="69"/>
      <c r="N40" s="69"/>
      <c r="O40" s="69"/>
      <c r="P40" s="69"/>
      <c r="Q40" s="69"/>
      <c r="R40" s="69"/>
      <c r="S40" s="70"/>
      <c r="T40" s="70"/>
      <c r="U40" s="70"/>
      <c r="V40" s="69"/>
      <c r="W40" s="69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86">
      <c r="B41" s="230"/>
      <c r="C41" s="83"/>
      <c r="F41" s="91"/>
      <c r="G41" s="91"/>
      <c r="H41" s="128"/>
      <c r="I41" s="225" t="s">
        <v>83</v>
      </c>
      <c r="J41" s="216">
        <f>9/5*J39+32</f>
        <v>59</v>
      </c>
      <c r="K41" s="226"/>
      <c r="L41" s="69"/>
      <c r="M41" s="69"/>
      <c r="N41" s="69"/>
      <c r="O41" s="69"/>
      <c r="P41" s="69"/>
      <c r="Q41" s="69"/>
      <c r="R41" s="69"/>
      <c r="S41" s="70"/>
      <c r="T41" s="70"/>
      <c r="U41" s="70"/>
      <c r="V41" s="69"/>
      <c r="W41" s="69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86" ht="7.5" customHeight="1" thickBot="1">
      <c r="B42" s="231"/>
      <c r="C42" s="232"/>
      <c r="D42" s="233"/>
      <c r="E42" s="233"/>
      <c r="F42" s="234"/>
      <c r="G42" s="234"/>
      <c r="H42" s="235"/>
      <c r="I42" s="233"/>
      <c r="J42" s="236"/>
      <c r="K42" s="237"/>
      <c r="L42" s="69"/>
      <c r="M42" s="69"/>
      <c r="N42" s="69"/>
      <c r="O42" s="69"/>
      <c r="P42" s="69"/>
      <c r="Q42" s="69"/>
      <c r="R42" s="69"/>
      <c r="S42" s="70"/>
      <c r="T42" s="70"/>
      <c r="U42" s="70"/>
      <c r="V42" s="69"/>
      <c r="W42" s="69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86">
      <c r="B43" s="238" t="s">
        <v>84</v>
      </c>
      <c r="C43" s="239"/>
      <c r="D43" s="179"/>
      <c r="E43" s="179"/>
      <c r="F43" s="177"/>
      <c r="G43" s="177"/>
      <c r="H43" s="178"/>
      <c r="I43" s="179"/>
      <c r="J43" s="179"/>
      <c r="K43" s="128"/>
      <c r="L43" s="69"/>
      <c r="M43" s="69"/>
      <c r="N43" s="69"/>
      <c r="O43" s="69"/>
      <c r="P43" s="69"/>
      <c r="Q43" s="69"/>
      <c r="R43" s="69"/>
      <c r="S43" s="70"/>
      <c r="T43" s="70"/>
      <c r="U43" s="70"/>
      <c r="V43" s="69"/>
      <c r="W43" s="69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86">
      <c r="B44" s="91" t="s">
        <v>85</v>
      </c>
      <c r="C44" s="83"/>
      <c r="F44" s="91"/>
      <c r="G44" s="91"/>
      <c r="H44" s="128"/>
      <c r="I44" s="68"/>
      <c r="K44" s="128"/>
      <c r="L44" s="69"/>
      <c r="M44" s="69"/>
      <c r="N44" s="69"/>
      <c r="O44" s="69"/>
      <c r="P44" s="69"/>
      <c r="Q44" s="69"/>
      <c r="R44" s="69"/>
      <c r="S44" s="69"/>
      <c r="T44" s="70"/>
      <c r="U44" s="70"/>
      <c r="V44" s="69"/>
      <c r="W44" s="69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</row>
    <row r="45" spans="1:86">
      <c r="B45" s="91" t="s">
        <v>86</v>
      </c>
      <c r="C45" s="83"/>
      <c r="F45" s="91"/>
      <c r="G45" s="91"/>
      <c r="H45" s="128"/>
      <c r="I45" s="68"/>
      <c r="K45" s="128"/>
      <c r="L45" s="69"/>
      <c r="M45" s="69"/>
      <c r="N45" s="69"/>
      <c r="O45" s="69"/>
      <c r="P45" s="69"/>
      <c r="Q45" s="69"/>
      <c r="R45" s="69"/>
      <c r="S45" s="69"/>
      <c r="T45" s="70"/>
      <c r="U45" s="70"/>
      <c r="V45" s="69"/>
      <c r="W45" s="69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86">
      <c r="B46" s="91" t="s">
        <v>87</v>
      </c>
      <c r="C46" s="83"/>
      <c r="F46" s="91"/>
      <c r="G46" s="91"/>
      <c r="H46" s="128"/>
      <c r="I46" s="68"/>
      <c r="K46" s="128"/>
      <c r="L46" s="69"/>
      <c r="M46" s="69"/>
      <c r="N46" s="69"/>
      <c r="O46" s="69"/>
      <c r="P46" s="69"/>
      <c r="Q46" s="69"/>
      <c r="R46" s="69"/>
      <c r="S46" s="69"/>
      <c r="T46" s="70"/>
      <c r="U46" s="70"/>
      <c r="V46" s="69"/>
      <c r="W46" s="69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</row>
    <row r="47" spans="1:86">
      <c r="B47" s="91"/>
      <c r="C47" s="83"/>
      <c r="F47" s="91"/>
      <c r="G47" s="91"/>
      <c r="H47" s="128"/>
      <c r="I47" s="68"/>
      <c r="K47" s="128"/>
      <c r="L47" s="69"/>
      <c r="M47" s="69"/>
      <c r="N47" s="69"/>
      <c r="O47" s="69"/>
      <c r="P47" s="69"/>
      <c r="Q47" s="69"/>
      <c r="R47" s="69"/>
      <c r="S47" s="69"/>
      <c r="T47" s="70"/>
      <c r="U47" s="70"/>
      <c r="V47" s="69"/>
      <c r="W47" s="69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</row>
    <row r="48" spans="1:86" s="2" customFormat="1">
      <c r="A48" s="1"/>
      <c r="B48" s="91" t="s">
        <v>88</v>
      </c>
      <c r="C48" s="83"/>
      <c r="D48" s="219">
        <f>R35*24/35.31*(14.2233*J31*J33/10000)^0.5</f>
        <v>3101.2269858882141</v>
      </c>
      <c r="E48" s="240" t="s">
        <v>89</v>
      </c>
      <c r="F48" s="91"/>
      <c r="G48" s="91"/>
      <c r="H48" s="128"/>
      <c r="I48" s="68"/>
      <c r="J48" s="68"/>
      <c r="K48" s="128"/>
      <c r="L48" s="69"/>
      <c r="M48" s="69"/>
      <c r="N48" s="69"/>
      <c r="O48" s="69"/>
      <c r="P48" s="69"/>
      <c r="Q48" s="69"/>
      <c r="R48" s="69"/>
      <c r="S48" s="69"/>
      <c r="T48" s="70"/>
      <c r="U48" s="70"/>
      <c r="V48" s="69"/>
      <c r="W48" s="69"/>
      <c r="X48" s="68"/>
      <c r="Y48" s="68"/>
      <c r="Z48" s="68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241"/>
      <c r="AW48" s="241"/>
      <c r="AX48" s="241"/>
      <c r="AY48" s="241"/>
      <c r="AZ48" s="241"/>
      <c r="BA48" s="241"/>
      <c r="BB48" s="241"/>
      <c r="BC48" s="241"/>
      <c r="BD48" s="241"/>
      <c r="BE48" s="241"/>
      <c r="BF48" s="241"/>
      <c r="BG48" s="241"/>
      <c r="BH48" s="241"/>
      <c r="BI48" s="241"/>
      <c r="BJ48" s="241"/>
      <c r="BK48" s="241"/>
      <c r="BL48" s="241"/>
      <c r="BM48" s="242"/>
      <c r="BN48" s="242"/>
      <c r="BO48" s="242"/>
      <c r="BP48" s="242"/>
      <c r="BQ48" s="242"/>
      <c r="BR48" s="242"/>
      <c r="BS48" s="242"/>
      <c r="BT48" s="242"/>
      <c r="BU48" s="242"/>
      <c r="BV48" s="242"/>
      <c r="BW48" s="242"/>
      <c r="BX48" s="242"/>
      <c r="BY48" s="242"/>
      <c r="BZ48" s="242"/>
      <c r="CA48" s="242"/>
      <c r="CB48" s="242"/>
      <c r="CC48" s="242"/>
      <c r="CD48" s="242"/>
      <c r="CE48" s="242"/>
      <c r="CF48" s="242"/>
      <c r="CG48" s="242"/>
      <c r="CH48" s="242"/>
    </row>
    <row r="49" spans="1:86">
      <c r="B49" s="91"/>
      <c r="C49" s="83"/>
      <c r="F49" s="91"/>
      <c r="G49" s="91"/>
      <c r="H49" s="128"/>
      <c r="I49" s="68"/>
      <c r="K49" s="128"/>
      <c r="L49" s="69"/>
      <c r="M49" s="69"/>
      <c r="N49" s="69"/>
      <c r="O49" s="69"/>
      <c r="P49" s="69"/>
      <c r="Q49" s="69"/>
      <c r="R49" s="69"/>
      <c r="S49" s="69"/>
      <c r="T49" s="70"/>
      <c r="U49" s="70"/>
      <c r="V49" s="69"/>
      <c r="W49" s="69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</row>
    <row r="50" spans="1:86">
      <c r="B50" s="243" t="s">
        <v>90</v>
      </c>
      <c r="I50" s="68"/>
      <c r="K50" s="128"/>
      <c r="L50" s="69"/>
      <c r="M50" s="69"/>
      <c r="N50" s="69"/>
      <c r="O50" s="69"/>
      <c r="P50" s="69"/>
      <c r="Q50" s="69"/>
      <c r="R50" s="69"/>
      <c r="S50" s="69"/>
      <c r="T50" s="70"/>
      <c r="U50" s="70"/>
      <c r="V50" s="69"/>
      <c r="W50" s="69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</row>
    <row r="51" spans="1:86">
      <c r="B51" s="91"/>
      <c r="C51" s="83"/>
      <c r="F51" s="91"/>
      <c r="G51" s="75"/>
      <c r="H51" s="128"/>
      <c r="I51" s="68"/>
      <c r="K51" s="128"/>
      <c r="L51" s="69"/>
      <c r="M51" s="69"/>
      <c r="N51" s="69"/>
      <c r="O51" s="69"/>
      <c r="P51" s="69"/>
      <c r="Q51" s="69"/>
      <c r="R51" s="69"/>
      <c r="S51" s="69"/>
      <c r="T51" s="70"/>
      <c r="U51" s="70"/>
      <c r="V51" s="69"/>
      <c r="W51" s="69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</row>
    <row r="52" spans="1:86">
      <c r="B52" s="244" t="s">
        <v>91</v>
      </c>
      <c r="C52" s="83"/>
      <c r="F52" s="91"/>
      <c r="G52" s="91"/>
      <c r="H52" s="128"/>
      <c r="I52" s="68"/>
      <c r="J52" s="245" t="s">
        <v>92</v>
      </c>
      <c r="K52" s="128"/>
      <c r="L52" s="69"/>
      <c r="M52" s="69"/>
      <c r="N52" s="69"/>
      <c r="O52" s="69"/>
      <c r="P52" s="69"/>
      <c r="Q52" s="69"/>
      <c r="R52" s="69"/>
      <c r="S52" s="69"/>
      <c r="T52" s="70"/>
      <c r="U52" s="70"/>
      <c r="V52" s="69"/>
      <c r="W52" s="69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</row>
    <row r="53" spans="1:86">
      <c r="B53" s="246" t="s">
        <v>93</v>
      </c>
      <c r="C53" s="83"/>
      <c r="D53" s="247" t="s">
        <v>94</v>
      </c>
      <c r="E53" s="248"/>
      <c r="F53" s="249"/>
      <c r="G53" s="249"/>
      <c r="H53" s="248"/>
      <c r="I53" s="248"/>
      <c r="J53" s="250"/>
      <c r="K53" s="128"/>
      <c r="L53" s="69"/>
      <c r="M53" s="69"/>
      <c r="N53" s="69"/>
      <c r="O53" s="69"/>
      <c r="P53" s="69"/>
      <c r="Q53" s="69"/>
      <c r="R53" s="69"/>
      <c r="S53" s="69"/>
      <c r="T53" s="70"/>
      <c r="U53" s="70"/>
      <c r="V53" s="69"/>
      <c r="W53" s="69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</row>
    <row r="54" spans="1:86">
      <c r="B54" s="244"/>
      <c r="C54" s="83"/>
      <c r="D54" s="251" t="s">
        <v>95</v>
      </c>
      <c r="E54" s="252"/>
      <c r="F54" s="252"/>
      <c r="G54" s="253" t="s">
        <v>96</v>
      </c>
      <c r="H54" s="253"/>
      <c r="I54" s="254"/>
      <c r="J54" s="255"/>
      <c r="L54" s="69"/>
      <c r="M54" s="69"/>
      <c r="N54" s="69"/>
      <c r="O54" s="69"/>
      <c r="P54" s="69"/>
      <c r="Q54" s="69"/>
      <c r="R54" s="69"/>
      <c r="S54" s="69"/>
      <c r="T54" s="70"/>
      <c r="U54" s="69"/>
      <c r="V54" s="69"/>
      <c r="W54" s="69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</row>
    <row r="55" spans="1:86">
      <c r="B55" s="246"/>
      <c r="C55" s="83"/>
      <c r="E55" s="91"/>
      <c r="F55" s="91"/>
      <c r="G55" s="128"/>
      <c r="I55" s="68"/>
      <c r="J55" s="128"/>
      <c r="P55" s="68"/>
      <c r="Q55" s="68"/>
      <c r="R55" s="68"/>
      <c r="S55" s="68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</row>
    <row r="56" spans="1:86">
      <c r="B56" s="246"/>
      <c r="C56" s="83"/>
      <c r="E56" s="91"/>
      <c r="F56" s="91"/>
      <c r="G56" s="128"/>
      <c r="I56" s="68"/>
      <c r="J56" s="128"/>
      <c r="P56" s="68"/>
      <c r="Q56" s="68"/>
      <c r="R56" s="68"/>
      <c r="S56" s="68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</row>
    <row r="57" spans="1:86">
      <c r="A57" s="8"/>
      <c r="B57" s="246"/>
      <c r="C57" s="256"/>
      <c r="D57" s="128"/>
      <c r="E57" s="257"/>
      <c r="F57" s="257"/>
      <c r="G57" s="128"/>
      <c r="I57" s="68"/>
      <c r="P57" s="68"/>
      <c r="Q57" s="68"/>
      <c r="R57" s="68"/>
      <c r="S57" s="68"/>
      <c r="T57" s="68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</row>
    <row r="58" spans="1:86">
      <c r="G58" s="258"/>
      <c r="I58" s="68"/>
      <c r="P58" s="68"/>
      <c r="Q58" s="68"/>
      <c r="R58" s="68"/>
      <c r="S58" s="68"/>
      <c r="T58" s="68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</row>
    <row r="59" spans="1:86" ht="15.6">
      <c r="D59" s="259">
        <v>2</v>
      </c>
      <c r="E59" s="260"/>
      <c r="F59" s="259">
        <v>3</v>
      </c>
      <c r="G59" s="261"/>
      <c r="H59" s="261"/>
      <c r="I59" s="262"/>
      <c r="J59" s="259">
        <v>4</v>
      </c>
      <c r="K59" s="261"/>
      <c r="L59" s="261"/>
      <c r="M59" s="262"/>
      <c r="N59" s="259">
        <v>6</v>
      </c>
      <c r="O59" s="261"/>
      <c r="P59" s="261"/>
      <c r="Q59" s="262"/>
      <c r="R59" s="259">
        <v>8</v>
      </c>
      <c r="S59" s="261"/>
      <c r="T59" s="262"/>
      <c r="U59" s="263">
        <v>10</v>
      </c>
      <c r="V59" s="261"/>
      <c r="W59" s="262"/>
      <c r="X59" s="259">
        <v>12</v>
      </c>
      <c r="Y59" s="261"/>
      <c r="Z59" s="262"/>
      <c r="AA59" s="264">
        <v>16</v>
      </c>
      <c r="AB59" s="265"/>
      <c r="AC59" s="266"/>
      <c r="AD59" s="264">
        <v>20</v>
      </c>
      <c r="AE59" s="265"/>
      <c r="AF59" s="265"/>
      <c r="AG59" s="266"/>
      <c r="AH59" s="264">
        <v>24</v>
      </c>
      <c r="AI59" s="265"/>
      <c r="AJ59" s="265"/>
      <c r="AK59" s="266"/>
      <c r="AL59" s="264">
        <v>30</v>
      </c>
      <c r="AM59" s="265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</row>
    <row r="60" spans="1:86">
      <c r="B60" s="267" t="s">
        <v>97</v>
      </c>
      <c r="C60" s="268" t="s">
        <v>98</v>
      </c>
      <c r="D60" s="269">
        <v>1.6890000000000001</v>
      </c>
      <c r="E60" s="270">
        <v>2.0670000000000002</v>
      </c>
      <c r="F60" s="269">
        <v>2.2999999999999998</v>
      </c>
      <c r="G60" s="271">
        <v>2.6259999999999999</v>
      </c>
      <c r="H60" s="271">
        <v>2.9</v>
      </c>
      <c r="I60" s="270">
        <v>3.0680000000000001</v>
      </c>
      <c r="J60" s="269">
        <v>3.1520000000000001</v>
      </c>
      <c r="K60" s="271">
        <v>3.4380000000000002</v>
      </c>
      <c r="L60" s="271">
        <v>3.8260000000000001</v>
      </c>
      <c r="M60" s="270">
        <v>4.0259999999999998</v>
      </c>
      <c r="N60" s="269">
        <v>4.8970000000000002</v>
      </c>
      <c r="O60" s="271">
        <v>5.1890000000000001</v>
      </c>
      <c r="P60" s="271">
        <v>5.7610000000000001</v>
      </c>
      <c r="Q60" s="270">
        <v>6.0650000000000004</v>
      </c>
      <c r="R60" s="272">
        <v>7.625</v>
      </c>
      <c r="S60" s="273">
        <v>7.9809999999999999</v>
      </c>
      <c r="T60" s="274">
        <v>8.0709999999999997</v>
      </c>
      <c r="U60" s="272">
        <v>9.5640000000000001</v>
      </c>
      <c r="V60" s="273">
        <v>10.02</v>
      </c>
      <c r="W60" s="274">
        <v>10.135999999999999</v>
      </c>
      <c r="X60" s="272">
        <v>11.375999999999999</v>
      </c>
      <c r="Y60" s="273">
        <v>11.938000000000001</v>
      </c>
      <c r="Z60" s="274">
        <v>12.09</v>
      </c>
      <c r="AA60" s="275">
        <v>14.688000000000001</v>
      </c>
      <c r="AB60" s="276">
        <v>15</v>
      </c>
      <c r="AC60" s="277">
        <v>15.25</v>
      </c>
      <c r="AD60" s="275">
        <v>18.814</v>
      </c>
      <c r="AE60" s="276">
        <v>19</v>
      </c>
      <c r="AF60" s="276"/>
      <c r="AG60" s="277">
        <v>19.25</v>
      </c>
      <c r="AH60" s="275">
        <v>22.626000000000001</v>
      </c>
      <c r="AI60" s="276"/>
      <c r="AJ60" s="276">
        <v>23</v>
      </c>
      <c r="AK60" s="277">
        <v>23.25</v>
      </c>
      <c r="AL60" s="275">
        <v>28.628</v>
      </c>
      <c r="AM60" s="276">
        <v>29</v>
      </c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</row>
    <row r="61" spans="1:86" ht="12" customHeight="1">
      <c r="B61" s="242">
        <v>0.25</v>
      </c>
      <c r="C61" s="278">
        <v>2</v>
      </c>
      <c r="D61" s="279">
        <v>12.695</v>
      </c>
      <c r="E61" s="280">
        <v>12.711</v>
      </c>
      <c r="F61" s="279">
        <v>12.714</v>
      </c>
      <c r="G61" s="281">
        <v>12.712</v>
      </c>
      <c r="H61" s="281">
        <v>12.708</v>
      </c>
      <c r="I61" s="280">
        <v>12.705</v>
      </c>
      <c r="J61" s="279">
        <v>12.702999999999999</v>
      </c>
      <c r="K61" s="281">
        <v>12.696999999999999</v>
      </c>
      <c r="L61" s="281">
        <v>12.686999999999999</v>
      </c>
      <c r="M61" s="280">
        <v>12.683</v>
      </c>
      <c r="N61" s="282"/>
      <c r="O61" s="242"/>
      <c r="Q61" s="283"/>
      <c r="R61" s="279"/>
      <c r="S61" s="281"/>
      <c r="T61" s="280"/>
      <c r="U61" s="279"/>
      <c r="V61" s="281"/>
      <c r="W61" s="280"/>
      <c r="X61" s="279"/>
      <c r="Y61" s="281"/>
      <c r="Z61" s="280"/>
      <c r="AA61" s="284"/>
      <c r="AB61" s="285"/>
      <c r="AC61" s="286"/>
      <c r="AD61" s="284"/>
      <c r="AE61" s="285"/>
      <c r="AF61" s="285"/>
      <c r="AG61" s="286"/>
      <c r="AH61" s="284"/>
      <c r="AI61" s="285"/>
      <c r="AJ61" s="285"/>
      <c r="AK61" s="286"/>
      <c r="AL61" s="284"/>
      <c r="AM61" s="285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</row>
    <row r="62" spans="1:86" ht="15.6">
      <c r="A62" s="10"/>
      <c r="B62" s="242">
        <v>0.375</v>
      </c>
      <c r="C62" s="287">
        <v>3</v>
      </c>
      <c r="D62" s="282">
        <v>28.474</v>
      </c>
      <c r="E62" s="283">
        <v>28.428000000000001</v>
      </c>
      <c r="F62" s="282">
        <v>28.411000000000001</v>
      </c>
      <c r="G62" s="242">
        <v>28.393000000000001</v>
      </c>
      <c r="H62" s="242">
        <v>28.382000000000001</v>
      </c>
      <c r="I62" s="283">
        <v>28.376000000000001</v>
      </c>
      <c r="J62" s="282">
        <v>28.373000000000001</v>
      </c>
      <c r="K62" s="242">
        <v>28.364000000000001</v>
      </c>
      <c r="L62" s="242">
        <v>28.353000000000002</v>
      </c>
      <c r="M62" s="283">
        <v>28.347999999999999</v>
      </c>
      <c r="N62" s="282"/>
      <c r="O62" s="242"/>
      <c r="Q62" s="283"/>
      <c r="R62" s="282"/>
      <c r="T62" s="283"/>
      <c r="U62" s="282"/>
      <c r="V62" s="242"/>
      <c r="W62" s="283"/>
      <c r="X62" s="282"/>
      <c r="Y62" s="242"/>
      <c r="Z62" s="283"/>
      <c r="AA62" s="282"/>
      <c r="AB62" s="242"/>
      <c r="AC62" s="283"/>
      <c r="AD62" s="282"/>
      <c r="AE62" s="242"/>
      <c r="AF62" s="242"/>
      <c r="AG62" s="283"/>
      <c r="AH62" s="282"/>
      <c r="AI62" s="242"/>
      <c r="AJ62" s="242"/>
      <c r="AK62" s="283"/>
      <c r="AL62" s="282"/>
      <c r="AM62" s="242"/>
    </row>
    <row r="63" spans="1:86">
      <c r="A63" s="11"/>
      <c r="B63" s="242">
        <v>0.5</v>
      </c>
      <c r="C63" s="287">
        <v>4</v>
      </c>
      <c r="D63" s="282">
        <v>50.777000000000001</v>
      </c>
      <c r="E63" s="283">
        <v>50.521000000000001</v>
      </c>
      <c r="F63" s="282">
        <v>50.435000000000002</v>
      </c>
      <c r="G63" s="242">
        <v>50.356000000000002</v>
      </c>
      <c r="H63" s="242">
        <v>50.313000000000002</v>
      </c>
      <c r="I63" s="283">
        <v>50.292000000000002</v>
      </c>
      <c r="J63" s="282">
        <v>50.283999999999999</v>
      </c>
      <c r="K63" s="242">
        <v>50.258000000000003</v>
      </c>
      <c r="L63" s="242">
        <v>50.234000000000002</v>
      </c>
      <c r="M63" s="283">
        <v>50.223999999999997</v>
      </c>
      <c r="N63" s="282">
        <v>50.197000000000003</v>
      </c>
      <c r="O63" s="242">
        <v>50.191000000000003</v>
      </c>
      <c r="P63" s="242">
        <v>50.182000000000002</v>
      </c>
      <c r="Q63" s="283">
        <v>50.177999999999997</v>
      </c>
      <c r="R63" s="282"/>
      <c r="T63" s="283"/>
      <c r="U63" s="282"/>
      <c r="V63" s="242"/>
      <c r="W63" s="283"/>
      <c r="X63" s="282"/>
      <c r="Y63" s="242"/>
      <c r="Z63" s="283"/>
      <c r="AA63" s="282"/>
      <c r="AB63" s="242"/>
      <c r="AC63" s="283"/>
      <c r="AD63" s="282"/>
      <c r="AE63" s="242"/>
      <c r="AF63" s="242"/>
      <c r="AG63" s="283"/>
      <c r="AH63" s="282"/>
      <c r="AI63" s="242"/>
      <c r="AJ63" s="242"/>
      <c r="AK63" s="283"/>
      <c r="AL63" s="282"/>
      <c r="AM63" s="242"/>
    </row>
    <row r="64" spans="1:86" s="4" customFormat="1">
      <c r="A64" s="1"/>
      <c r="B64" s="242">
        <v>0.625</v>
      </c>
      <c r="C64" s="287">
        <v>5</v>
      </c>
      <c r="D64" s="282">
        <v>80.09</v>
      </c>
      <c r="E64" s="283">
        <v>79.311000000000007</v>
      </c>
      <c r="F64" s="282">
        <v>79.052000000000007</v>
      </c>
      <c r="G64" s="242">
        <v>78.817999999999998</v>
      </c>
      <c r="H64" s="242">
        <v>78.686000000000007</v>
      </c>
      <c r="I64" s="283">
        <v>78.625</v>
      </c>
      <c r="J64" s="282">
        <v>78.597999999999999</v>
      </c>
      <c r="K64" s="242">
        <v>78.522999999999996</v>
      </c>
      <c r="L64" s="242">
        <v>78.45</v>
      </c>
      <c r="M64" s="283">
        <v>78.421000000000006</v>
      </c>
      <c r="N64" s="282">
        <v>78.337999999999994</v>
      </c>
      <c r="O64" s="242">
        <v>78.320999999999998</v>
      </c>
      <c r="P64" s="242">
        <v>78.296000000000006</v>
      </c>
      <c r="Q64" s="283">
        <v>78.287000000000006</v>
      </c>
      <c r="R64" s="282"/>
      <c r="S64" s="242"/>
      <c r="T64" s="283"/>
      <c r="U64" s="282"/>
      <c r="V64" s="242"/>
      <c r="W64" s="283"/>
      <c r="X64" s="282"/>
      <c r="Y64" s="242"/>
      <c r="Z64" s="283"/>
      <c r="AA64" s="282"/>
      <c r="AB64" s="242"/>
      <c r="AC64" s="283"/>
      <c r="AD64" s="282"/>
      <c r="AE64" s="242"/>
      <c r="AF64" s="242"/>
      <c r="AG64" s="283"/>
      <c r="AH64" s="282"/>
      <c r="AI64" s="242"/>
      <c r="AJ64" s="242"/>
      <c r="AK64" s="283"/>
      <c r="AL64" s="282"/>
      <c r="AM64" s="24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</row>
    <row r="65" spans="1:86" s="4" customFormat="1">
      <c r="A65" s="1"/>
      <c r="B65" s="242">
        <v>0.75</v>
      </c>
      <c r="C65" s="287">
        <v>6</v>
      </c>
      <c r="D65" s="282">
        <v>117.09</v>
      </c>
      <c r="E65" s="283">
        <v>115.14</v>
      </c>
      <c r="F65" s="282">
        <v>114.52</v>
      </c>
      <c r="G65" s="242">
        <v>113.99</v>
      </c>
      <c r="H65" s="242">
        <v>113.7</v>
      </c>
      <c r="I65" s="283">
        <v>113.56</v>
      </c>
      <c r="J65" s="282">
        <v>113.5</v>
      </c>
      <c r="K65" s="242">
        <v>113.33</v>
      </c>
      <c r="L65" s="242">
        <v>113.15</v>
      </c>
      <c r="M65" s="283">
        <v>113.08</v>
      </c>
      <c r="N65" s="282">
        <v>112.87</v>
      </c>
      <c r="O65" s="242">
        <v>112.82</v>
      </c>
      <c r="P65" s="242">
        <v>112.75</v>
      </c>
      <c r="Q65" s="283">
        <v>112.72</v>
      </c>
      <c r="R65" s="282"/>
      <c r="S65" s="242"/>
      <c r="T65" s="283"/>
      <c r="U65" s="282"/>
      <c r="V65" s="242"/>
      <c r="W65" s="283"/>
      <c r="X65" s="282"/>
      <c r="Y65" s="242"/>
      <c r="Z65" s="283"/>
      <c r="AA65" s="282"/>
      <c r="AB65" s="242"/>
      <c r="AC65" s="283"/>
      <c r="AD65" s="282"/>
      <c r="AE65" s="242"/>
      <c r="AF65" s="242"/>
      <c r="AG65" s="283"/>
      <c r="AH65" s="282"/>
      <c r="AI65" s="242"/>
      <c r="AJ65" s="242"/>
      <c r="AK65" s="283"/>
      <c r="AL65" s="282"/>
      <c r="AM65" s="24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</row>
    <row r="66" spans="1:86">
      <c r="B66" s="242">
        <v>0.875</v>
      </c>
      <c r="C66" s="287">
        <v>7</v>
      </c>
      <c r="D66" s="282">
        <v>162.94999999999999</v>
      </c>
      <c r="E66" s="283">
        <v>158.47</v>
      </c>
      <c r="F66" s="282">
        <v>157.12</v>
      </c>
      <c r="G66" s="242">
        <v>156</v>
      </c>
      <c r="H66" s="242">
        <v>155.41</v>
      </c>
      <c r="I66" s="283">
        <v>155.13999999999999</v>
      </c>
      <c r="J66" s="282">
        <v>155.03</v>
      </c>
      <c r="K66" s="242">
        <v>154.71</v>
      </c>
      <c r="L66" s="242">
        <v>154.4</v>
      </c>
      <c r="M66" s="283">
        <v>154.27000000000001</v>
      </c>
      <c r="N66" s="282">
        <v>153.88</v>
      </c>
      <c r="O66" s="242">
        <v>153.78</v>
      </c>
      <c r="P66" s="242">
        <v>153.63</v>
      </c>
      <c r="Q66" s="283">
        <v>153.56</v>
      </c>
      <c r="R66" s="282">
        <v>153.34</v>
      </c>
      <c r="S66" s="242">
        <v>153.31</v>
      </c>
      <c r="T66" s="283">
        <v>153.31</v>
      </c>
      <c r="U66" s="282"/>
      <c r="V66" s="242"/>
      <c r="W66" s="283"/>
      <c r="X66" s="282"/>
      <c r="Y66" s="242"/>
      <c r="Z66" s="283"/>
      <c r="AA66" s="282"/>
      <c r="AB66" s="242"/>
      <c r="AC66" s="283"/>
      <c r="AD66" s="282"/>
      <c r="AE66" s="242"/>
      <c r="AF66" s="242"/>
      <c r="AG66" s="283"/>
      <c r="AH66" s="282"/>
      <c r="AI66" s="242"/>
      <c r="AJ66" s="242"/>
      <c r="AK66" s="283"/>
      <c r="AL66" s="282"/>
      <c r="AM66" s="242"/>
    </row>
    <row r="67" spans="1:86">
      <c r="B67" s="242">
        <v>1</v>
      </c>
      <c r="C67" s="287">
        <v>8</v>
      </c>
      <c r="D67" s="282">
        <v>219.77</v>
      </c>
      <c r="E67" s="283">
        <v>210.22</v>
      </c>
      <c r="F67" s="282">
        <v>207.44</v>
      </c>
      <c r="G67" s="242">
        <v>205.18</v>
      </c>
      <c r="H67" s="242">
        <v>204.04</v>
      </c>
      <c r="I67" s="283">
        <v>203.54</v>
      </c>
      <c r="J67" s="282">
        <v>203.33</v>
      </c>
      <c r="K67" s="242">
        <v>202.75</v>
      </c>
      <c r="L67" s="242">
        <v>202.2</v>
      </c>
      <c r="M67" s="283">
        <v>201.99</v>
      </c>
      <c r="N67" s="282">
        <v>201.34</v>
      </c>
      <c r="O67" s="242">
        <v>201.19</v>
      </c>
      <c r="P67" s="242">
        <v>200.96</v>
      </c>
      <c r="Q67" s="283">
        <v>200.85</v>
      </c>
      <c r="R67" s="282">
        <v>200.46</v>
      </c>
      <c r="S67" s="242">
        <v>200.39</v>
      </c>
      <c r="T67" s="283">
        <v>200.38</v>
      </c>
      <c r="U67" s="282">
        <v>200.2</v>
      </c>
      <c r="V67" s="242"/>
      <c r="W67" s="283"/>
      <c r="X67" s="282"/>
      <c r="Y67" s="242"/>
      <c r="Z67" s="283"/>
      <c r="AA67" s="282"/>
      <c r="AB67" s="242"/>
      <c r="AC67" s="283"/>
      <c r="AD67" s="282"/>
      <c r="AE67" s="242"/>
      <c r="AF67" s="242"/>
      <c r="AG67" s="283"/>
      <c r="AH67" s="282"/>
      <c r="AI67" s="242"/>
      <c r="AJ67" s="242"/>
      <c r="AK67" s="283"/>
      <c r="AL67" s="282"/>
      <c r="AM67" s="242"/>
    </row>
    <row r="68" spans="1:86">
      <c r="B68" s="242">
        <v>1.125</v>
      </c>
      <c r="C68" s="287">
        <v>9</v>
      </c>
      <c r="D68" s="282">
        <v>290.99</v>
      </c>
      <c r="E68" s="283">
        <v>271.7</v>
      </c>
      <c r="F68" s="282">
        <v>266.35000000000002</v>
      </c>
      <c r="G68" s="242">
        <v>262.06</v>
      </c>
      <c r="H68" s="242">
        <v>259.95</v>
      </c>
      <c r="I68" s="283">
        <v>259.04000000000002</v>
      </c>
      <c r="J68" s="282">
        <v>258.64999999999998</v>
      </c>
      <c r="K68" s="242">
        <v>257.63</v>
      </c>
      <c r="L68" s="242">
        <v>256.69</v>
      </c>
      <c r="M68" s="283">
        <v>256.33</v>
      </c>
      <c r="N68" s="282">
        <v>255.31</v>
      </c>
      <c r="O68" s="242">
        <v>255.08</v>
      </c>
      <c r="P68" s="242">
        <v>254.72</v>
      </c>
      <c r="Q68" s="283">
        <v>254.56</v>
      </c>
      <c r="R68" s="282">
        <v>253.99</v>
      </c>
      <c r="S68" s="242">
        <v>253.89</v>
      </c>
      <c r="T68" s="283">
        <v>253.87</v>
      </c>
      <c r="U68" s="282">
        <v>253.55</v>
      </c>
      <c r="V68" s="242">
        <v>253.48</v>
      </c>
      <c r="W68" s="283">
        <v>253.47</v>
      </c>
      <c r="X68" s="282"/>
      <c r="Y68" s="242"/>
      <c r="Z68" s="283"/>
      <c r="AA68" s="282"/>
      <c r="AB68" s="242"/>
      <c r="AC68" s="283"/>
      <c r="AD68" s="282"/>
      <c r="AE68" s="242"/>
      <c r="AF68" s="242"/>
      <c r="AG68" s="283"/>
      <c r="AH68" s="282"/>
      <c r="AI68" s="242"/>
      <c r="AJ68" s="242"/>
      <c r="AK68" s="283"/>
      <c r="AL68" s="282"/>
      <c r="AM68" s="242"/>
    </row>
    <row r="69" spans="1:86">
      <c r="B69" s="242">
        <v>1.25</v>
      </c>
      <c r="C69" s="287">
        <v>10</v>
      </c>
      <c r="D69" s="282">
        <v>385.78</v>
      </c>
      <c r="E69" s="283">
        <v>345.13</v>
      </c>
      <c r="F69" s="282">
        <v>335.12</v>
      </c>
      <c r="G69" s="242">
        <v>327.39</v>
      </c>
      <c r="H69" s="242">
        <v>323.63</v>
      </c>
      <c r="I69" s="283">
        <v>322.02999999999997</v>
      </c>
      <c r="J69" s="282">
        <v>321.37</v>
      </c>
      <c r="K69" s="242">
        <v>319.61</v>
      </c>
      <c r="L69" s="242">
        <v>318.02999999999997</v>
      </c>
      <c r="M69" s="283">
        <v>317.45</v>
      </c>
      <c r="N69" s="282">
        <v>315.83</v>
      </c>
      <c r="O69" s="242">
        <v>315.48</v>
      </c>
      <c r="P69" s="242">
        <v>314.95</v>
      </c>
      <c r="Q69" s="283">
        <v>314.72000000000003</v>
      </c>
      <c r="R69" s="282">
        <v>313.91000000000003</v>
      </c>
      <c r="S69" s="242">
        <v>313.77999999999997</v>
      </c>
      <c r="T69" s="283">
        <v>313.74</v>
      </c>
      <c r="U69" s="282">
        <v>313.31</v>
      </c>
      <c r="V69" s="242">
        <v>313.2</v>
      </c>
      <c r="W69" s="283">
        <v>313.18</v>
      </c>
      <c r="X69" s="282">
        <v>312.94</v>
      </c>
      <c r="Y69" s="242">
        <v>312.85000000000002</v>
      </c>
      <c r="Z69" s="283">
        <v>312.83</v>
      </c>
      <c r="AA69" s="282"/>
      <c r="AB69" s="242"/>
      <c r="AC69" s="283"/>
      <c r="AD69" s="282"/>
      <c r="AE69" s="242"/>
      <c r="AF69" s="242"/>
      <c r="AG69" s="283"/>
      <c r="AH69" s="282"/>
      <c r="AI69" s="242"/>
      <c r="AJ69" s="242"/>
      <c r="AK69" s="283"/>
      <c r="AL69" s="282"/>
      <c r="AM69" s="242"/>
    </row>
    <row r="70" spans="1:86">
      <c r="B70" s="242">
        <v>1.375</v>
      </c>
      <c r="C70" s="287">
        <v>11</v>
      </c>
      <c r="D70" s="282"/>
      <c r="E70" s="283">
        <v>433.5</v>
      </c>
      <c r="F70" s="282">
        <v>415.75</v>
      </c>
      <c r="G70" s="242">
        <v>402.18</v>
      </c>
      <c r="H70" s="242">
        <v>395.8</v>
      </c>
      <c r="I70" s="283">
        <v>393.09</v>
      </c>
      <c r="J70" s="282">
        <v>391.97</v>
      </c>
      <c r="K70" s="242">
        <v>389.03</v>
      </c>
      <c r="L70" s="242">
        <v>386.45</v>
      </c>
      <c r="M70" s="283">
        <v>385.51</v>
      </c>
      <c r="N70" s="282">
        <v>382.99</v>
      </c>
      <c r="O70" s="242">
        <v>382.47</v>
      </c>
      <c r="P70" s="242">
        <v>381.7</v>
      </c>
      <c r="Q70" s="283">
        <v>381.37</v>
      </c>
      <c r="R70" s="282">
        <v>380.25</v>
      </c>
      <c r="S70" s="242">
        <v>380.06</v>
      </c>
      <c r="T70" s="283">
        <v>380.02</v>
      </c>
      <c r="U70" s="282">
        <v>379.74</v>
      </c>
      <c r="V70" s="242">
        <v>379.29</v>
      </c>
      <c r="W70" s="283">
        <v>379.26</v>
      </c>
      <c r="X70" s="282">
        <v>378.94</v>
      </c>
      <c r="Y70" s="242">
        <v>378.82</v>
      </c>
      <c r="Z70" s="283">
        <v>378.79</v>
      </c>
      <c r="AA70" s="282"/>
      <c r="AB70" s="242"/>
      <c r="AC70" s="283"/>
      <c r="AD70" s="282"/>
      <c r="AE70" s="242"/>
      <c r="AF70" s="242"/>
      <c r="AG70" s="283"/>
      <c r="AH70" s="282"/>
      <c r="AI70" s="242"/>
      <c r="AJ70" s="242"/>
      <c r="AK70" s="283"/>
      <c r="AL70" s="282"/>
      <c r="AM70" s="242"/>
    </row>
    <row r="71" spans="1:86">
      <c r="B71" s="242">
        <v>1.5</v>
      </c>
      <c r="C71" s="287">
        <v>12</v>
      </c>
      <c r="D71" s="288"/>
      <c r="E71" s="289">
        <v>542.26</v>
      </c>
      <c r="F71" s="282">
        <v>510.86</v>
      </c>
      <c r="G71" s="242">
        <v>487.98</v>
      </c>
      <c r="H71" s="242">
        <v>477.36</v>
      </c>
      <c r="I71" s="283">
        <v>472.96</v>
      </c>
      <c r="J71" s="282">
        <v>471.14</v>
      </c>
      <c r="K71" s="242">
        <v>466.39</v>
      </c>
      <c r="L71" s="242">
        <v>462.27</v>
      </c>
      <c r="M71" s="283">
        <v>460.79</v>
      </c>
      <c r="N71" s="282">
        <v>456.93</v>
      </c>
      <c r="O71" s="242">
        <v>456.14</v>
      </c>
      <c r="P71" s="242">
        <v>455.03</v>
      </c>
      <c r="Q71" s="283">
        <v>454.57</v>
      </c>
      <c r="R71" s="282">
        <v>453.02</v>
      </c>
      <c r="S71" s="242">
        <v>452.78</v>
      </c>
      <c r="T71" s="283">
        <v>452.72</v>
      </c>
      <c r="U71" s="282">
        <v>451.95</v>
      </c>
      <c r="V71" s="242">
        <v>451.76</v>
      </c>
      <c r="W71" s="283">
        <v>451.72</v>
      </c>
      <c r="X71" s="282">
        <v>451.3</v>
      </c>
      <c r="Y71" s="242">
        <v>451.14</v>
      </c>
      <c r="Z71" s="283">
        <v>451.1</v>
      </c>
      <c r="AA71" s="282">
        <v>450.53</v>
      </c>
      <c r="AB71" s="242">
        <v>450.48</v>
      </c>
      <c r="AC71" s="283"/>
      <c r="AD71" s="282"/>
      <c r="AE71" s="242"/>
      <c r="AF71" s="242"/>
      <c r="AG71" s="283"/>
      <c r="AH71" s="282"/>
      <c r="AI71" s="242"/>
      <c r="AJ71" s="242"/>
      <c r="AK71" s="283"/>
      <c r="AL71" s="282"/>
      <c r="AM71" s="242"/>
    </row>
    <row r="72" spans="1:86">
      <c r="B72" s="242">
        <v>1.625</v>
      </c>
      <c r="C72" s="287">
        <v>13</v>
      </c>
      <c r="D72" s="242"/>
      <c r="E72" s="242"/>
      <c r="F72" s="282">
        <v>623.91</v>
      </c>
      <c r="G72" s="242">
        <v>586.82000000000005</v>
      </c>
      <c r="H72" s="242">
        <v>569.65</v>
      </c>
      <c r="I72" s="283">
        <v>562.58000000000004</v>
      </c>
      <c r="J72" s="282">
        <v>559.72</v>
      </c>
      <c r="K72" s="242">
        <v>552.30999999999995</v>
      </c>
      <c r="L72" s="242">
        <v>545.89</v>
      </c>
      <c r="M72" s="283">
        <v>543.61</v>
      </c>
      <c r="N72" s="282">
        <v>537.77</v>
      </c>
      <c r="O72" s="242">
        <v>536.64</v>
      </c>
      <c r="P72" s="242">
        <v>535.03</v>
      </c>
      <c r="Q72" s="283">
        <v>534.38</v>
      </c>
      <c r="R72" s="282">
        <v>532.27</v>
      </c>
      <c r="S72" s="242">
        <v>531.95000000000005</v>
      </c>
      <c r="T72" s="283">
        <v>531.87</v>
      </c>
      <c r="U72" s="282">
        <v>530.87</v>
      </c>
      <c r="V72" s="242">
        <v>530.63</v>
      </c>
      <c r="W72" s="283">
        <v>530.57000000000005</v>
      </c>
      <c r="X72" s="282">
        <v>530.04</v>
      </c>
      <c r="Y72" s="242">
        <v>529.83000000000004</v>
      </c>
      <c r="Z72" s="283">
        <v>529.78</v>
      </c>
      <c r="AA72" s="282">
        <v>529.05999999999995</v>
      </c>
      <c r="AB72" s="242">
        <v>528.99</v>
      </c>
      <c r="AC72" s="283">
        <v>528.94000000000005</v>
      </c>
      <c r="AD72" s="282"/>
      <c r="AE72" s="242"/>
      <c r="AF72" s="242"/>
      <c r="AG72" s="283"/>
      <c r="AH72" s="282"/>
      <c r="AI72" s="242"/>
      <c r="AJ72" s="242"/>
      <c r="AK72" s="283"/>
      <c r="AL72" s="282"/>
      <c r="AM72" s="242"/>
    </row>
    <row r="73" spans="1:86" ht="13.5" customHeight="1">
      <c r="B73" s="242">
        <v>1.75</v>
      </c>
      <c r="C73" s="287">
        <v>14</v>
      </c>
      <c r="D73" s="242"/>
      <c r="E73" s="242"/>
      <c r="F73" s="282"/>
      <c r="G73" s="242">
        <v>701.27</v>
      </c>
      <c r="H73" s="242">
        <v>674.44</v>
      </c>
      <c r="I73" s="283">
        <v>663.42</v>
      </c>
      <c r="J73" s="282">
        <v>658.96</v>
      </c>
      <c r="K73" s="242">
        <v>647.54</v>
      </c>
      <c r="L73" s="242">
        <v>637.84</v>
      </c>
      <c r="M73" s="283">
        <v>634.39</v>
      </c>
      <c r="N73" s="282">
        <v>625.73</v>
      </c>
      <c r="O73" s="242">
        <v>624.09</v>
      </c>
      <c r="P73" s="242">
        <v>621.79</v>
      </c>
      <c r="Q73" s="283">
        <v>620.88</v>
      </c>
      <c r="R73" s="282">
        <v>618.02</v>
      </c>
      <c r="S73" s="242">
        <v>617.6</v>
      </c>
      <c r="T73" s="283">
        <v>617.5</v>
      </c>
      <c r="U73" s="282">
        <v>616.21</v>
      </c>
      <c r="V73" s="242">
        <v>615.9</v>
      </c>
      <c r="W73" s="283">
        <v>615.83000000000004</v>
      </c>
      <c r="X73" s="282">
        <v>615.16</v>
      </c>
      <c r="Y73" s="242">
        <v>614.9</v>
      </c>
      <c r="Z73" s="283">
        <v>614.84</v>
      </c>
      <c r="AA73" s="282">
        <v>613.94000000000005</v>
      </c>
      <c r="AB73" s="242">
        <v>613.85</v>
      </c>
      <c r="AC73" s="283">
        <v>613.78</v>
      </c>
      <c r="AD73" s="282"/>
      <c r="AE73" s="242"/>
      <c r="AF73" s="242"/>
      <c r="AG73" s="283"/>
      <c r="AH73" s="282"/>
      <c r="AI73" s="242"/>
      <c r="AJ73" s="242"/>
      <c r="AK73" s="283"/>
      <c r="AL73" s="282"/>
      <c r="AM73" s="242"/>
    </row>
    <row r="74" spans="1:86">
      <c r="B74" s="242">
        <v>1.875</v>
      </c>
      <c r="C74" s="287">
        <v>15</v>
      </c>
      <c r="D74" s="242"/>
      <c r="E74" s="242"/>
      <c r="F74" s="282"/>
      <c r="G74" s="242">
        <v>834.88</v>
      </c>
      <c r="H74" s="242">
        <v>793.88</v>
      </c>
      <c r="I74" s="283">
        <v>777.18</v>
      </c>
      <c r="J74" s="282">
        <v>770.44</v>
      </c>
      <c r="K74" s="242">
        <v>753.17</v>
      </c>
      <c r="L74" s="242">
        <v>738.75</v>
      </c>
      <c r="M74" s="283">
        <v>733.68</v>
      </c>
      <c r="N74" s="282">
        <v>721.03</v>
      </c>
      <c r="O74" s="242">
        <v>718.69</v>
      </c>
      <c r="P74" s="242">
        <v>715.44</v>
      </c>
      <c r="Q74" s="283">
        <v>714.19</v>
      </c>
      <c r="R74" s="282">
        <v>710.32</v>
      </c>
      <c r="S74" s="242">
        <v>709.77</v>
      </c>
      <c r="T74" s="283">
        <v>709.64</v>
      </c>
      <c r="U74" s="282">
        <v>707.99</v>
      </c>
      <c r="V74" s="242">
        <v>707.61</v>
      </c>
      <c r="W74" s="283">
        <v>707.51</v>
      </c>
      <c r="X74" s="282">
        <v>706.68</v>
      </c>
      <c r="Y74" s="242">
        <v>706.36</v>
      </c>
      <c r="Z74" s="283">
        <v>706.28</v>
      </c>
      <c r="AA74" s="282">
        <v>705.18</v>
      </c>
      <c r="AB74" s="242">
        <v>705.07</v>
      </c>
      <c r="AC74" s="283">
        <v>704.99</v>
      </c>
      <c r="AD74" s="282"/>
      <c r="AE74" s="242"/>
      <c r="AF74" s="242"/>
      <c r="AG74" s="283"/>
      <c r="AH74" s="282"/>
      <c r="AI74" s="242"/>
      <c r="AJ74" s="242"/>
      <c r="AK74" s="283"/>
      <c r="AL74" s="282"/>
      <c r="AM74" s="242"/>
    </row>
    <row r="75" spans="1:86">
      <c r="B75" s="242">
        <v>2</v>
      </c>
      <c r="C75" s="287">
        <v>16</v>
      </c>
      <c r="D75" s="242"/>
      <c r="E75" s="242"/>
      <c r="F75" s="282"/>
      <c r="G75" s="242"/>
      <c r="H75" s="242">
        <v>930.65</v>
      </c>
      <c r="I75" s="283">
        <v>906.01</v>
      </c>
      <c r="J75" s="282">
        <v>896.06</v>
      </c>
      <c r="K75" s="242">
        <v>870.59</v>
      </c>
      <c r="L75" s="242">
        <v>849.41</v>
      </c>
      <c r="M75" s="283">
        <v>842.12</v>
      </c>
      <c r="N75" s="282">
        <v>823.99</v>
      </c>
      <c r="O75" s="242">
        <v>820.68</v>
      </c>
      <c r="P75" s="242">
        <v>816.13</v>
      </c>
      <c r="Q75" s="283">
        <v>814.41</v>
      </c>
      <c r="R75" s="282">
        <v>809.22</v>
      </c>
      <c r="S75" s="242">
        <v>808.5</v>
      </c>
      <c r="T75" s="283">
        <v>808.34</v>
      </c>
      <c r="U75" s="282">
        <v>806.23</v>
      </c>
      <c r="V75" s="242">
        <v>805.76</v>
      </c>
      <c r="W75" s="283">
        <v>805.65</v>
      </c>
      <c r="X75" s="282">
        <v>804.61</v>
      </c>
      <c r="Y75" s="242">
        <v>804.23</v>
      </c>
      <c r="Z75" s="283">
        <v>804.13</v>
      </c>
      <c r="AA75" s="282">
        <v>802.78</v>
      </c>
      <c r="AB75" s="242">
        <v>802.65</v>
      </c>
      <c r="AC75" s="283">
        <v>802.55</v>
      </c>
      <c r="AD75" s="282">
        <v>801.4</v>
      </c>
      <c r="AE75" s="242">
        <v>801.35</v>
      </c>
      <c r="AF75" s="242"/>
      <c r="AG75" s="283">
        <v>801.29</v>
      </c>
      <c r="AH75" s="282"/>
      <c r="AI75" s="242"/>
      <c r="AJ75" s="242"/>
      <c r="AK75" s="283"/>
      <c r="AL75" s="282"/>
      <c r="AM75" s="242"/>
    </row>
    <row r="76" spans="1:86">
      <c r="B76" s="242">
        <v>2.125</v>
      </c>
      <c r="C76" s="287">
        <v>17</v>
      </c>
      <c r="D76" s="242"/>
      <c r="E76" s="242"/>
      <c r="F76" s="282"/>
      <c r="G76" s="242"/>
      <c r="H76" s="242">
        <v>1091.2</v>
      </c>
      <c r="I76" s="283">
        <v>1052.5</v>
      </c>
      <c r="J76" s="282">
        <v>1038.0999999999999</v>
      </c>
      <c r="K76" s="242">
        <v>1001.4</v>
      </c>
      <c r="L76" s="242">
        <v>970.95</v>
      </c>
      <c r="M76" s="283">
        <v>960.48</v>
      </c>
      <c r="N76" s="282">
        <v>934.97</v>
      </c>
      <c r="O76" s="242">
        <v>930.35</v>
      </c>
      <c r="P76" s="242">
        <v>924.07</v>
      </c>
      <c r="Q76" s="283">
        <v>921.71</v>
      </c>
      <c r="R76" s="282">
        <v>914.79</v>
      </c>
      <c r="S76" s="242">
        <v>913.86</v>
      </c>
      <c r="T76" s="283">
        <v>913.64</v>
      </c>
      <c r="U76" s="282">
        <v>910.97</v>
      </c>
      <c r="V76" s="242">
        <v>910.38</v>
      </c>
      <c r="W76" s="283">
        <v>910.24</v>
      </c>
      <c r="X76" s="282">
        <v>908.98</v>
      </c>
      <c r="Y76" s="242">
        <v>908.51</v>
      </c>
      <c r="Z76" s="283">
        <v>908.39</v>
      </c>
      <c r="AA76" s="282">
        <v>906.77</v>
      </c>
      <c r="AB76" s="242">
        <v>906.61</v>
      </c>
      <c r="AC76" s="283">
        <v>906.49</v>
      </c>
      <c r="AD76" s="282">
        <v>905.11</v>
      </c>
      <c r="AE76" s="242">
        <v>905.06</v>
      </c>
      <c r="AF76" s="242"/>
      <c r="AG76" s="283">
        <v>904.98</v>
      </c>
      <c r="AH76" s="282"/>
      <c r="AI76" s="242"/>
      <c r="AJ76" s="242"/>
      <c r="AK76" s="283"/>
      <c r="AL76" s="282"/>
      <c r="AM76" s="242"/>
    </row>
    <row r="77" spans="1:86">
      <c r="B77" s="242">
        <v>2.25</v>
      </c>
      <c r="C77" s="287">
        <v>18</v>
      </c>
      <c r="D77" s="242"/>
      <c r="E77" s="242"/>
      <c r="F77" s="288"/>
      <c r="G77" s="290"/>
      <c r="H77" s="290"/>
      <c r="I77" s="289">
        <v>1223.2</v>
      </c>
      <c r="J77" s="282">
        <v>1199.9000000000001</v>
      </c>
      <c r="K77" s="242">
        <v>1147.7</v>
      </c>
      <c r="L77" s="242">
        <v>1104.7</v>
      </c>
      <c r="M77" s="283">
        <v>1089.9000000000001</v>
      </c>
      <c r="N77" s="282">
        <v>1054.4000000000001</v>
      </c>
      <c r="O77" s="242">
        <v>1048.0999999999999</v>
      </c>
      <c r="P77" s="242">
        <v>1039.5</v>
      </c>
      <c r="Q77" s="283">
        <v>1036.3</v>
      </c>
      <c r="R77" s="282">
        <v>1027.01</v>
      </c>
      <c r="S77" s="242">
        <v>1025.9000000000001</v>
      </c>
      <c r="T77" s="283">
        <v>1025.5999999999999</v>
      </c>
      <c r="U77" s="282">
        <v>1022.2</v>
      </c>
      <c r="V77" s="242">
        <v>1021.5</v>
      </c>
      <c r="W77" s="283">
        <v>1021.3</v>
      </c>
      <c r="X77" s="282">
        <v>1019.8</v>
      </c>
      <c r="Y77" s="242">
        <v>1019.2</v>
      </c>
      <c r="Z77" s="283">
        <v>1019.1</v>
      </c>
      <c r="AA77" s="282">
        <v>1017.1</v>
      </c>
      <c r="AB77" s="242">
        <v>1017</v>
      </c>
      <c r="AC77" s="283">
        <v>1016.8</v>
      </c>
      <c r="AD77" s="282">
        <v>1015.12</v>
      </c>
      <c r="AE77" s="242">
        <v>1015.1</v>
      </c>
      <c r="AF77" s="242"/>
      <c r="AG77" s="283">
        <v>1015</v>
      </c>
      <c r="AH77" s="282"/>
      <c r="AI77" s="242"/>
      <c r="AJ77" s="242"/>
      <c r="AK77" s="283"/>
      <c r="AL77" s="282"/>
      <c r="AM77" s="242"/>
    </row>
    <row r="78" spans="1:86">
      <c r="B78" s="242">
        <v>2.375</v>
      </c>
      <c r="C78" s="287">
        <v>19</v>
      </c>
      <c r="D78" s="242"/>
      <c r="E78" s="242"/>
      <c r="F78" s="242"/>
      <c r="G78" s="242"/>
      <c r="H78" s="242"/>
      <c r="J78" s="282"/>
      <c r="K78" s="242">
        <v>1311.7</v>
      </c>
      <c r="L78" s="242">
        <v>1252.0999999999999</v>
      </c>
      <c r="M78" s="283">
        <v>1231.7</v>
      </c>
      <c r="N78" s="282">
        <v>1182.9000000000001</v>
      </c>
      <c r="O78" s="242">
        <v>1174.2</v>
      </c>
      <c r="P78" s="242">
        <v>1162.5999999999999</v>
      </c>
      <c r="Q78" s="283">
        <v>1158.3</v>
      </c>
      <c r="R78" s="282">
        <v>1146.2</v>
      </c>
      <c r="S78" s="242">
        <v>1144.7</v>
      </c>
      <c r="T78" s="283">
        <v>1144.3</v>
      </c>
      <c r="U78" s="282">
        <v>1140.0999999999999</v>
      </c>
      <c r="V78" s="242">
        <v>1139.2</v>
      </c>
      <c r="W78" s="283">
        <v>1139</v>
      </c>
      <c r="X78" s="282">
        <v>1137.0999999999999</v>
      </c>
      <c r="Y78" s="242">
        <v>1136.4000000000001</v>
      </c>
      <c r="Z78" s="283">
        <v>1136.2</v>
      </c>
      <c r="AA78" s="282">
        <v>1133.9000000000001</v>
      </c>
      <c r="AB78" s="242">
        <v>1133.7</v>
      </c>
      <c r="AC78" s="283">
        <v>1135.5</v>
      </c>
      <c r="AD78" s="282">
        <v>1131.5999999999999</v>
      </c>
      <c r="AE78" s="242">
        <v>1131.5</v>
      </c>
      <c r="AF78" s="242"/>
      <c r="AG78" s="283">
        <v>1131.4000000000001</v>
      </c>
      <c r="AH78" s="282">
        <v>1130.2</v>
      </c>
      <c r="AI78" s="242"/>
      <c r="AJ78" s="242">
        <v>1130.0999999999999</v>
      </c>
      <c r="AK78" s="283">
        <v>1130</v>
      </c>
      <c r="AL78" s="282"/>
      <c r="AM78" s="242"/>
    </row>
    <row r="79" spans="1:86">
      <c r="B79" s="242">
        <v>2.5</v>
      </c>
      <c r="C79" s="287">
        <v>20</v>
      </c>
      <c r="D79" s="242"/>
      <c r="E79" s="242"/>
      <c r="F79" s="242"/>
      <c r="G79" s="242"/>
      <c r="H79" s="242"/>
      <c r="J79" s="282"/>
      <c r="K79" s="242">
        <v>1498.4</v>
      </c>
      <c r="L79" s="242">
        <v>1415</v>
      </c>
      <c r="M79" s="283">
        <v>1387.2</v>
      </c>
      <c r="N79" s="282">
        <v>1320.9</v>
      </c>
      <c r="O79" s="242">
        <v>1309.9000000000001</v>
      </c>
      <c r="P79" s="242">
        <v>1293.8</v>
      </c>
      <c r="Q79" s="283">
        <v>1288.2</v>
      </c>
      <c r="R79" s="282">
        <v>1272.3</v>
      </c>
      <c r="S79" s="242">
        <v>1270.3</v>
      </c>
      <c r="T79" s="283">
        <v>1269.8</v>
      </c>
      <c r="U79" s="282">
        <v>1264.5</v>
      </c>
      <c r="V79" s="242">
        <v>1263.4000000000001</v>
      </c>
      <c r="W79" s="283">
        <v>1263.0999999999999</v>
      </c>
      <c r="X79" s="282">
        <v>1260.8</v>
      </c>
      <c r="Y79" s="242">
        <v>1260</v>
      </c>
      <c r="Z79" s="283">
        <v>1259.8</v>
      </c>
      <c r="AA79" s="282">
        <v>1257.0999999999999</v>
      </c>
      <c r="AB79" s="242">
        <v>1256.8</v>
      </c>
      <c r="AC79" s="283">
        <v>1256.5999999999999</v>
      </c>
      <c r="AD79" s="282">
        <v>1254.4000000000001</v>
      </c>
      <c r="AE79" s="242">
        <v>1254.3</v>
      </c>
      <c r="AF79" s="242"/>
      <c r="AG79" s="283">
        <v>1254.2</v>
      </c>
      <c r="AH79" s="282">
        <v>1252.8</v>
      </c>
      <c r="AI79" s="242"/>
      <c r="AJ79" s="242">
        <v>1252.5999999999999</v>
      </c>
      <c r="AK79" s="283">
        <v>1252.5999999999999</v>
      </c>
      <c r="AL79" s="282"/>
      <c r="AM79" s="242"/>
    </row>
    <row r="80" spans="1:86">
      <c r="B80" s="242">
        <v>2.625</v>
      </c>
      <c r="C80" s="287">
        <v>21</v>
      </c>
      <c r="D80" s="242"/>
      <c r="E80" s="242"/>
      <c r="F80" s="242"/>
      <c r="G80" s="242"/>
      <c r="H80" s="242"/>
      <c r="J80" s="282"/>
      <c r="K80" s="242"/>
      <c r="L80" s="242">
        <v>1596.6</v>
      </c>
      <c r="M80" s="283">
        <v>1558.2</v>
      </c>
      <c r="N80" s="282">
        <v>1469.2</v>
      </c>
      <c r="O80" s="242">
        <v>1453.9</v>
      </c>
      <c r="P80" s="242">
        <v>1433.5</v>
      </c>
      <c r="Q80" s="283">
        <v>1426</v>
      </c>
      <c r="R80" s="282">
        <v>1405.4</v>
      </c>
      <c r="S80" s="242">
        <v>1402.9</v>
      </c>
      <c r="T80" s="283">
        <v>1402.3</v>
      </c>
      <c r="U80" s="282">
        <v>1395.6</v>
      </c>
      <c r="V80" s="242">
        <v>1394.2</v>
      </c>
      <c r="W80" s="283">
        <v>1393.9</v>
      </c>
      <c r="X80" s="282">
        <v>1391.1</v>
      </c>
      <c r="Y80" s="242">
        <v>1390.1</v>
      </c>
      <c r="Z80" s="283">
        <v>1389.9</v>
      </c>
      <c r="AA80" s="282">
        <v>1386.7</v>
      </c>
      <c r="AB80" s="242">
        <v>1386.4</v>
      </c>
      <c r="AC80" s="283">
        <v>1386.1</v>
      </c>
      <c r="AD80" s="282">
        <v>1383.6</v>
      </c>
      <c r="AE80" s="242">
        <v>1383.5</v>
      </c>
      <c r="AF80" s="242"/>
      <c r="AG80" s="283">
        <v>1383.3</v>
      </c>
      <c r="AH80" s="282">
        <v>1381.7</v>
      </c>
      <c r="AI80" s="242"/>
      <c r="AJ80" s="242">
        <v>1381.5</v>
      </c>
      <c r="AK80" s="283">
        <v>1381.4</v>
      </c>
      <c r="AL80" s="282"/>
      <c r="AM80" s="242"/>
    </row>
    <row r="81" spans="2:39">
      <c r="B81" s="242">
        <v>2.75</v>
      </c>
      <c r="C81" s="287">
        <v>22</v>
      </c>
      <c r="D81" s="242"/>
      <c r="E81" s="242"/>
      <c r="F81" s="242"/>
      <c r="G81" s="242"/>
      <c r="H81" s="242"/>
      <c r="J81" s="282"/>
      <c r="K81" s="242"/>
      <c r="L81" s="242">
        <v>1797.1</v>
      </c>
      <c r="M81" s="283">
        <v>1746.7</v>
      </c>
      <c r="N81" s="282">
        <v>1628.9</v>
      </c>
      <c r="O81" s="242">
        <v>1608.7</v>
      </c>
      <c r="P81" s="242">
        <v>1582.1</v>
      </c>
      <c r="Q81" s="283">
        <v>1572.3</v>
      </c>
      <c r="R81" s="282">
        <v>1545.7</v>
      </c>
      <c r="S81" s="242">
        <v>1542.5</v>
      </c>
      <c r="T81" s="283">
        <v>1541.8</v>
      </c>
      <c r="U81" s="282">
        <v>1533.4</v>
      </c>
      <c r="V81" s="242">
        <v>1531.7</v>
      </c>
      <c r="W81" s="283">
        <v>1531.3</v>
      </c>
      <c r="X81" s="282">
        <v>1528</v>
      </c>
      <c r="Y81" s="242">
        <v>1526.8</v>
      </c>
      <c r="Z81" s="283">
        <v>1526.5</v>
      </c>
      <c r="AA81" s="282">
        <v>1522.7</v>
      </c>
      <c r="AB81" s="242">
        <v>1522.4</v>
      </c>
      <c r="AC81" s="283">
        <v>1522.1</v>
      </c>
      <c r="AD81" s="282">
        <v>1519.1</v>
      </c>
      <c r="AE81" s="242">
        <v>1519</v>
      </c>
      <c r="AF81" s="242"/>
      <c r="AG81" s="283">
        <v>1518.8</v>
      </c>
      <c r="AH81" s="282">
        <v>1517</v>
      </c>
      <c r="AI81" s="242"/>
      <c r="AJ81" s="242">
        <v>1516.8</v>
      </c>
      <c r="AK81" s="283">
        <v>1516.7</v>
      </c>
      <c r="AL81" s="282"/>
      <c r="AM81" s="242"/>
    </row>
    <row r="82" spans="2:39">
      <c r="B82" s="242">
        <v>2.875</v>
      </c>
      <c r="C82" s="287">
        <v>23</v>
      </c>
      <c r="D82" s="242"/>
      <c r="E82" s="242"/>
      <c r="F82" s="242"/>
      <c r="G82" s="242"/>
      <c r="H82" s="242"/>
      <c r="J82" s="282"/>
      <c r="K82" s="242"/>
      <c r="L82" s="242"/>
      <c r="M82" s="283">
        <v>1955.5</v>
      </c>
      <c r="N82" s="282">
        <v>1801</v>
      </c>
      <c r="O82" s="242">
        <v>1774.5</v>
      </c>
      <c r="P82" s="242">
        <v>1740</v>
      </c>
      <c r="Q82" s="283">
        <v>1727.5</v>
      </c>
      <c r="R82" s="282">
        <v>1693.4</v>
      </c>
      <c r="S82" s="242">
        <v>1689.3</v>
      </c>
      <c r="T82" s="283">
        <v>1688.4</v>
      </c>
      <c r="U82" s="282">
        <v>1678</v>
      </c>
      <c r="V82" s="242">
        <v>1675.9</v>
      </c>
      <c r="W82" s="283">
        <v>1675.4</v>
      </c>
      <c r="X82" s="282">
        <v>1671.4</v>
      </c>
      <c r="Y82" s="242">
        <v>1670</v>
      </c>
      <c r="Z82" s="283">
        <v>1669.6</v>
      </c>
      <c r="AA82" s="282">
        <v>1665.2</v>
      </c>
      <c r="AB82" s="242">
        <v>1664.8</v>
      </c>
      <c r="AC82" s="283">
        <v>1664.5</v>
      </c>
      <c r="AD82" s="282">
        <v>1661</v>
      </c>
      <c r="AE82" s="242">
        <v>1660.9</v>
      </c>
      <c r="AF82" s="242"/>
      <c r="AG82" s="283">
        <v>1660.7</v>
      </c>
      <c r="AH82" s="282">
        <v>1658.6</v>
      </c>
      <c r="AI82" s="242"/>
      <c r="AJ82" s="242">
        <v>1658.4</v>
      </c>
      <c r="AK82" s="283">
        <v>1658.3</v>
      </c>
      <c r="AL82" s="282">
        <v>1656</v>
      </c>
      <c r="AM82" s="242"/>
    </row>
    <row r="83" spans="2:39">
      <c r="B83" s="242">
        <v>3</v>
      </c>
      <c r="C83" s="287">
        <v>24</v>
      </c>
      <c r="D83" s="242"/>
      <c r="E83" s="242"/>
      <c r="F83" s="242"/>
      <c r="G83" s="242"/>
      <c r="H83" s="242"/>
      <c r="J83" s="288"/>
      <c r="K83" s="290"/>
      <c r="L83" s="290"/>
      <c r="M83" s="289">
        <v>2194.9</v>
      </c>
      <c r="N83" s="282">
        <v>1986.6</v>
      </c>
      <c r="O83" s="242">
        <v>1952.4</v>
      </c>
      <c r="P83" s="242">
        <v>1907.8</v>
      </c>
      <c r="Q83" s="283">
        <v>1891.9</v>
      </c>
      <c r="R83" s="282">
        <v>1848.6</v>
      </c>
      <c r="S83" s="242">
        <v>1843.5</v>
      </c>
      <c r="T83" s="283">
        <v>1842.3</v>
      </c>
      <c r="U83" s="282">
        <v>1829.4</v>
      </c>
      <c r="V83" s="242">
        <v>1826.9</v>
      </c>
      <c r="W83" s="283">
        <v>1826.3</v>
      </c>
      <c r="X83" s="282">
        <v>1821.4</v>
      </c>
      <c r="Y83" s="242">
        <v>1819.7</v>
      </c>
      <c r="Z83" s="283">
        <v>1819.3</v>
      </c>
      <c r="AA83" s="282">
        <v>1814.1</v>
      </c>
      <c r="AB83" s="242">
        <v>1813.7</v>
      </c>
      <c r="AC83" s="283">
        <v>1813.3</v>
      </c>
      <c r="AD83" s="282">
        <v>1809.4</v>
      </c>
      <c r="AE83" s="242">
        <v>1809.2</v>
      </c>
      <c r="AF83" s="242"/>
      <c r="AG83" s="283">
        <v>1809</v>
      </c>
      <c r="AH83" s="282">
        <v>1806.6</v>
      </c>
      <c r="AI83" s="242"/>
      <c r="AJ83" s="242">
        <v>1806.4</v>
      </c>
      <c r="AK83" s="283">
        <v>1806.2</v>
      </c>
      <c r="AL83" s="282">
        <v>1803.7</v>
      </c>
      <c r="AM83" s="242">
        <v>1803.5</v>
      </c>
    </row>
    <row r="84" spans="2:39">
      <c r="B84" s="242">
        <v>3.125</v>
      </c>
      <c r="C84" s="287">
        <v>25</v>
      </c>
      <c r="D84" s="242"/>
      <c r="E84" s="242"/>
      <c r="F84" s="242"/>
      <c r="G84" s="242"/>
      <c r="H84" s="242"/>
      <c r="J84" s="242"/>
      <c r="K84" s="242"/>
      <c r="L84" s="242"/>
      <c r="M84" s="242"/>
      <c r="N84" s="282">
        <v>2187.1999999999998</v>
      </c>
      <c r="O84" s="242">
        <v>2143.4</v>
      </c>
      <c r="P84" s="242">
        <v>2086.4</v>
      </c>
      <c r="Q84" s="283">
        <v>2066.1</v>
      </c>
      <c r="R84" s="282">
        <v>2011.06</v>
      </c>
      <c r="S84" s="242">
        <v>2005.2</v>
      </c>
      <c r="T84" s="283">
        <v>2003.8</v>
      </c>
      <c r="U84" s="282">
        <v>1987.8</v>
      </c>
      <c r="V84" s="242">
        <v>1984.7</v>
      </c>
      <c r="W84" s="283">
        <v>1984</v>
      </c>
      <c r="X84" s="282">
        <v>1978.1</v>
      </c>
      <c r="Y84" s="242">
        <v>1976.1</v>
      </c>
      <c r="Z84" s="283">
        <v>1975.6</v>
      </c>
      <c r="AA84" s="282">
        <v>1969.6</v>
      </c>
      <c r="AB84" s="242">
        <v>1969</v>
      </c>
      <c r="AC84" s="283">
        <v>1968.6</v>
      </c>
      <c r="AD84" s="282">
        <v>1964.1</v>
      </c>
      <c r="AE84" s="242">
        <v>1963.9</v>
      </c>
      <c r="AF84" s="242"/>
      <c r="AG84" s="283">
        <v>1963.7</v>
      </c>
      <c r="AH84" s="282">
        <v>1961</v>
      </c>
      <c r="AI84" s="242"/>
      <c r="AJ84" s="242">
        <v>1960.7</v>
      </c>
      <c r="AK84" s="283">
        <v>1960.6</v>
      </c>
      <c r="AL84" s="282">
        <v>1957.7</v>
      </c>
      <c r="AM84" s="242">
        <v>1957.5</v>
      </c>
    </row>
    <row r="85" spans="2:39">
      <c r="B85" s="242">
        <v>3.25</v>
      </c>
      <c r="C85" s="287">
        <v>26</v>
      </c>
      <c r="D85" s="242"/>
      <c r="E85" s="242"/>
      <c r="F85" s="242"/>
      <c r="G85" s="242"/>
      <c r="H85" s="242"/>
      <c r="J85" s="242"/>
      <c r="K85" s="242"/>
      <c r="L85" s="242"/>
      <c r="M85" s="242"/>
      <c r="N85" s="282">
        <v>2404.1999999999998</v>
      </c>
      <c r="O85" s="242">
        <v>2348.8000000000002</v>
      </c>
      <c r="P85" s="242">
        <v>2276.5</v>
      </c>
      <c r="Q85" s="283">
        <v>2250.8000000000002</v>
      </c>
      <c r="R85" s="282">
        <v>2182.6</v>
      </c>
      <c r="S85" s="242">
        <v>2174.6</v>
      </c>
      <c r="T85" s="283">
        <v>2172.9</v>
      </c>
      <c r="U85" s="282">
        <v>2153.1999999999998</v>
      </c>
      <c r="V85" s="242">
        <v>2149.5</v>
      </c>
      <c r="W85" s="283">
        <v>2148.6</v>
      </c>
      <c r="X85" s="282">
        <v>2141.5</v>
      </c>
      <c r="Y85" s="242">
        <v>2139.1999999999998</v>
      </c>
      <c r="Z85" s="283">
        <v>2138.6</v>
      </c>
      <c r="AA85" s="282">
        <v>2131.5</v>
      </c>
      <c r="AB85" s="242">
        <v>2130.9</v>
      </c>
      <c r="AC85" s="283">
        <v>2130.4</v>
      </c>
      <c r="AD85" s="282">
        <v>2125.3000000000002</v>
      </c>
      <c r="AE85" s="242">
        <v>2125.1</v>
      </c>
      <c r="AF85" s="242"/>
      <c r="AG85" s="283">
        <v>2124.8000000000002</v>
      </c>
      <c r="AH85" s="282">
        <v>2121.6999999999998</v>
      </c>
      <c r="AI85" s="242"/>
      <c r="AJ85" s="242">
        <v>2121.5</v>
      </c>
      <c r="AK85" s="283">
        <v>2121.3000000000002</v>
      </c>
      <c r="AL85" s="282">
        <v>2118</v>
      </c>
      <c r="AM85" s="242">
        <v>2117.9</v>
      </c>
    </row>
    <row r="86" spans="2:39">
      <c r="B86" s="242">
        <v>3.375</v>
      </c>
      <c r="C86" s="287">
        <v>27</v>
      </c>
      <c r="D86" s="242"/>
      <c r="E86" s="242"/>
      <c r="F86" s="242"/>
      <c r="G86" s="242"/>
      <c r="H86" s="242"/>
      <c r="J86" s="242"/>
      <c r="K86" s="242"/>
      <c r="L86" s="242"/>
      <c r="M86" s="242"/>
      <c r="N86" s="282">
        <v>2639.5</v>
      </c>
      <c r="O86" s="242">
        <v>2569.8000000000002</v>
      </c>
      <c r="P86" s="242">
        <v>2479.1</v>
      </c>
      <c r="Q86" s="283">
        <v>2446.8000000000002</v>
      </c>
      <c r="R86" s="282">
        <v>2361.8000000000002</v>
      </c>
      <c r="S86" s="242">
        <v>2352</v>
      </c>
      <c r="T86" s="283">
        <v>2349.9</v>
      </c>
      <c r="U86" s="282">
        <v>2325.6999999999998</v>
      </c>
      <c r="V86" s="242">
        <v>2321.1999999999998</v>
      </c>
      <c r="W86" s="283">
        <v>2320.1999999999998</v>
      </c>
      <c r="X86" s="282">
        <v>2311.6999999999998</v>
      </c>
      <c r="Y86" s="242">
        <v>2308.9</v>
      </c>
      <c r="Z86" s="283">
        <v>2308.1999999999998</v>
      </c>
      <c r="AA86" s="282">
        <v>2299.9</v>
      </c>
      <c r="AB86" s="242">
        <v>2299.1999999999998</v>
      </c>
      <c r="AC86" s="283">
        <v>2298.6999999999998</v>
      </c>
      <c r="AD86" s="282">
        <v>2292.9</v>
      </c>
      <c r="AE86" s="242">
        <v>2292.6</v>
      </c>
      <c r="AF86" s="242"/>
      <c r="AG86" s="283">
        <v>2292.3000000000002</v>
      </c>
      <c r="AH86" s="282">
        <v>2288.9</v>
      </c>
      <c r="AI86" s="242"/>
      <c r="AJ86" s="242">
        <v>2288.6</v>
      </c>
      <c r="AK86" s="283">
        <v>2288.4</v>
      </c>
      <c r="AL86" s="282">
        <v>2284.8000000000002</v>
      </c>
      <c r="AM86" s="242">
        <v>2284.5</v>
      </c>
    </row>
    <row r="87" spans="2:39">
      <c r="B87" s="242">
        <v>3.5</v>
      </c>
      <c r="C87" s="287">
        <v>28</v>
      </c>
      <c r="D87" s="242"/>
      <c r="E87" s="242"/>
      <c r="F87" s="242"/>
      <c r="G87" s="242"/>
      <c r="H87" s="242"/>
      <c r="J87" s="242"/>
      <c r="K87" s="242"/>
      <c r="L87" s="242"/>
      <c r="M87" s="242"/>
      <c r="N87" s="282">
        <v>2895.5</v>
      </c>
      <c r="O87" s="242">
        <v>2808.1</v>
      </c>
      <c r="P87" s="242">
        <v>2695.1</v>
      </c>
      <c r="Q87" s="283">
        <v>2654.9</v>
      </c>
      <c r="R87" s="282">
        <v>2549.6999999999998</v>
      </c>
      <c r="S87" s="242">
        <v>2537.6999999999998</v>
      </c>
      <c r="T87" s="283">
        <v>2535</v>
      </c>
      <c r="U87" s="282">
        <v>2505.6</v>
      </c>
      <c r="V87" s="242">
        <v>2500.1</v>
      </c>
      <c r="W87" s="283">
        <v>2498.9</v>
      </c>
      <c r="X87" s="282">
        <v>2488.6999999999998</v>
      </c>
      <c r="Y87" s="242">
        <v>2485.4</v>
      </c>
      <c r="Z87" s="283">
        <v>2484.6</v>
      </c>
      <c r="AA87" s="282">
        <v>2474.9</v>
      </c>
      <c r="AB87" s="242">
        <v>2474.1</v>
      </c>
      <c r="AC87" s="283">
        <v>2473.5</v>
      </c>
      <c r="AD87" s="282">
        <v>2466.9</v>
      </c>
      <c r="AE87" s="242">
        <v>2466.6</v>
      </c>
      <c r="AF87" s="242"/>
      <c r="AG87" s="283">
        <v>2466.3000000000002</v>
      </c>
      <c r="AH87" s="282">
        <v>2462.4</v>
      </c>
      <c r="AI87" s="242"/>
      <c r="AJ87" s="242">
        <v>2462.1</v>
      </c>
      <c r="AK87" s="283">
        <v>2461.8000000000002</v>
      </c>
      <c r="AL87" s="282">
        <v>2457.8000000000002</v>
      </c>
      <c r="AM87" s="242">
        <v>2457.6</v>
      </c>
    </row>
    <row r="88" spans="2:39">
      <c r="B88" s="242">
        <v>3.625</v>
      </c>
      <c r="C88" s="287">
        <v>29</v>
      </c>
      <c r="D88" s="242"/>
      <c r="E88" s="242"/>
      <c r="F88" s="242"/>
      <c r="G88" s="242"/>
      <c r="H88" s="242"/>
      <c r="J88" s="242"/>
      <c r="K88" s="242"/>
      <c r="L88" s="242"/>
      <c r="M88" s="242"/>
      <c r="N88" s="282">
        <v>3180.8</v>
      </c>
      <c r="O88" s="242">
        <v>3065.3</v>
      </c>
      <c r="P88" s="242">
        <v>2925.7</v>
      </c>
      <c r="Q88" s="283">
        <v>2876</v>
      </c>
      <c r="R88" s="282">
        <v>2746.5</v>
      </c>
      <c r="S88" s="242">
        <v>2731.8</v>
      </c>
      <c r="T88" s="283">
        <v>2728.6</v>
      </c>
      <c r="U88" s="282">
        <v>2692.8</v>
      </c>
      <c r="V88" s="242">
        <v>2686.2</v>
      </c>
      <c r="W88" s="283">
        <v>2684.7</v>
      </c>
      <c r="X88" s="282">
        <v>2672.6</v>
      </c>
      <c r="Y88" s="242">
        <v>2668.7</v>
      </c>
      <c r="Z88" s="283">
        <v>2667.7</v>
      </c>
      <c r="AA88" s="282">
        <v>2656.4</v>
      </c>
      <c r="AB88" s="242">
        <v>2655.5</v>
      </c>
      <c r="AC88" s="283">
        <v>2654.8</v>
      </c>
      <c r="AD88" s="282">
        <v>2647.3</v>
      </c>
      <c r="AE88" s="242">
        <v>2647</v>
      </c>
      <c r="AF88" s="242"/>
      <c r="AG88" s="283">
        <v>2646.6</v>
      </c>
      <c r="AH88" s="282">
        <v>2642.4</v>
      </c>
      <c r="AI88" s="242"/>
      <c r="AJ88" s="242">
        <v>2642</v>
      </c>
      <c r="AK88" s="283">
        <v>2641.7</v>
      </c>
      <c r="AL88" s="282">
        <v>2637.3</v>
      </c>
      <c r="AM88" s="242">
        <v>2637</v>
      </c>
    </row>
    <row r="89" spans="2:39">
      <c r="B89" s="242">
        <v>3.75</v>
      </c>
      <c r="C89" s="287">
        <v>30</v>
      </c>
      <c r="D89" s="242"/>
      <c r="E89" s="242"/>
      <c r="F89" s="242"/>
      <c r="G89" s="242"/>
      <c r="H89" s="242"/>
      <c r="J89" s="242"/>
      <c r="K89" s="242"/>
      <c r="L89" s="242"/>
      <c r="M89" s="242"/>
      <c r="N89" s="282"/>
      <c r="O89" s="242">
        <v>3345.5</v>
      </c>
      <c r="P89" s="242">
        <v>3172.1</v>
      </c>
      <c r="Q89" s="283">
        <v>3111.2</v>
      </c>
      <c r="R89" s="282">
        <v>2952.6</v>
      </c>
      <c r="S89" s="242">
        <v>2934.8</v>
      </c>
      <c r="T89" s="283">
        <v>2930.8</v>
      </c>
      <c r="U89" s="282">
        <v>2887.6</v>
      </c>
      <c r="V89" s="242">
        <v>2879.7</v>
      </c>
      <c r="W89" s="283">
        <v>2877.9</v>
      </c>
      <c r="X89" s="282">
        <v>2863.5</v>
      </c>
      <c r="Y89" s="242">
        <v>2858.8</v>
      </c>
      <c r="Z89" s="283">
        <v>2857.7</v>
      </c>
      <c r="AA89" s="282">
        <v>2844.6</v>
      </c>
      <c r="AB89" s="242">
        <v>2843.5</v>
      </c>
      <c r="AC89" s="283">
        <v>2842.7</v>
      </c>
      <c r="AD89" s="282">
        <v>2834.2</v>
      </c>
      <c r="AE89" s="242">
        <v>2833.9</v>
      </c>
      <c r="AF89" s="242"/>
      <c r="AG89" s="283">
        <v>2833.5</v>
      </c>
      <c r="AH89" s="282">
        <v>2828.7</v>
      </c>
      <c r="AI89" s="242"/>
      <c r="AJ89" s="242">
        <v>2828.3</v>
      </c>
      <c r="AK89" s="283">
        <v>2828</v>
      </c>
      <c r="AL89" s="282">
        <v>2823.1</v>
      </c>
      <c r="AM89" s="242">
        <v>2822.8</v>
      </c>
    </row>
    <row r="90" spans="2:39">
      <c r="B90" s="242">
        <v>3.875</v>
      </c>
      <c r="C90" s="287">
        <v>31</v>
      </c>
      <c r="D90" s="242"/>
      <c r="E90" s="242"/>
      <c r="F90" s="242"/>
      <c r="G90" s="242"/>
      <c r="H90" s="242"/>
      <c r="J90" s="242"/>
      <c r="K90" s="242"/>
      <c r="L90" s="242"/>
      <c r="M90" s="242"/>
      <c r="N90" s="282"/>
      <c r="O90" s="242">
        <v>3657.7</v>
      </c>
      <c r="P90" s="242">
        <v>3435.7</v>
      </c>
      <c r="Q90" s="283">
        <v>3361.5</v>
      </c>
      <c r="R90" s="282">
        <v>3168.3</v>
      </c>
      <c r="S90" s="242">
        <v>3146.9</v>
      </c>
      <c r="T90" s="283">
        <v>3142.1</v>
      </c>
      <c r="U90" s="282">
        <v>3090.1</v>
      </c>
      <c r="V90" s="242">
        <v>3080.7</v>
      </c>
      <c r="W90" s="283">
        <v>3078.5</v>
      </c>
      <c r="X90" s="282">
        <v>3061.4</v>
      </c>
      <c r="Y90" s="242">
        <v>3055.9</v>
      </c>
      <c r="Z90" s="283">
        <v>3054.6</v>
      </c>
      <c r="AA90" s="282">
        <v>3039.4</v>
      </c>
      <c r="AB90" s="242">
        <v>3038.1</v>
      </c>
      <c r="AC90" s="283">
        <v>3037.2</v>
      </c>
      <c r="AD90" s="282">
        <v>3027.6</v>
      </c>
      <c r="AE90" s="242">
        <v>3027.3</v>
      </c>
      <c r="AF90" s="242"/>
      <c r="AG90" s="283">
        <v>3026.8</v>
      </c>
      <c r="AH90" s="282">
        <v>3021.5</v>
      </c>
      <c r="AI90" s="242"/>
      <c r="AJ90" s="242">
        <v>3021</v>
      </c>
      <c r="AK90" s="283">
        <v>3020.7</v>
      </c>
      <c r="AL90" s="282">
        <v>3015.2</v>
      </c>
      <c r="AM90" s="242">
        <v>3014.9</v>
      </c>
    </row>
    <row r="91" spans="2:39">
      <c r="B91" s="242">
        <v>4</v>
      </c>
      <c r="C91" s="287">
        <v>32</v>
      </c>
      <c r="D91" s="242"/>
      <c r="E91" s="242"/>
      <c r="F91" s="242"/>
      <c r="G91" s="242"/>
      <c r="H91" s="242"/>
      <c r="J91" s="242"/>
      <c r="K91" s="242"/>
      <c r="L91" s="242"/>
      <c r="M91" s="242"/>
      <c r="N91" s="282"/>
      <c r="O91" s="242"/>
      <c r="P91" s="242">
        <v>3718.2</v>
      </c>
      <c r="Q91" s="283">
        <v>3628.2</v>
      </c>
      <c r="R91" s="282">
        <v>3394.3</v>
      </c>
      <c r="S91" s="242">
        <v>3368.5</v>
      </c>
      <c r="T91" s="283">
        <v>3362.9</v>
      </c>
      <c r="U91" s="282">
        <v>3300.6</v>
      </c>
      <c r="V91" s="242">
        <v>3289.3</v>
      </c>
      <c r="W91" s="283">
        <v>3286.8</v>
      </c>
      <c r="X91" s="282">
        <v>3266.4</v>
      </c>
      <c r="Y91" s="242">
        <v>3260</v>
      </c>
      <c r="Z91" s="283">
        <v>3258.5</v>
      </c>
      <c r="AA91" s="282">
        <v>3240.8</v>
      </c>
      <c r="AB91" s="242">
        <v>3239.4</v>
      </c>
      <c r="AC91" s="283">
        <v>3238.3</v>
      </c>
      <c r="AD91" s="282">
        <v>3227.5</v>
      </c>
      <c r="AE91" s="242">
        <v>3227.1</v>
      </c>
      <c r="AF91" s="242"/>
      <c r="AG91" s="283">
        <v>3226.5</v>
      </c>
      <c r="AH91" s="282">
        <v>3220.6</v>
      </c>
      <c r="AI91" s="242"/>
      <c r="AJ91" s="242">
        <v>3220.1</v>
      </c>
      <c r="AK91" s="283">
        <v>3219.8</v>
      </c>
      <c r="AL91" s="282">
        <v>3213.8</v>
      </c>
      <c r="AM91" s="242">
        <v>3213.5</v>
      </c>
    </row>
    <row r="92" spans="2:39">
      <c r="B92" s="242">
        <v>4.25</v>
      </c>
      <c r="C92" s="287">
        <v>33</v>
      </c>
      <c r="D92" s="242"/>
      <c r="E92" s="242"/>
      <c r="F92" s="242"/>
      <c r="G92" s="242"/>
      <c r="H92" s="242"/>
      <c r="J92" s="242"/>
      <c r="K92" s="242"/>
      <c r="L92" s="242"/>
      <c r="M92" s="242"/>
      <c r="N92" s="282"/>
      <c r="O92" s="242"/>
      <c r="P92" s="242">
        <v>4354.8</v>
      </c>
      <c r="Q92" s="283">
        <v>4216.6000000000004</v>
      </c>
      <c r="R92" s="282">
        <v>3879.4</v>
      </c>
      <c r="S92" s="242">
        <v>3842.3</v>
      </c>
      <c r="T92" s="283">
        <v>3834.2</v>
      </c>
      <c r="U92" s="282">
        <v>3746.1</v>
      </c>
      <c r="V92" s="242">
        <v>3730.2</v>
      </c>
      <c r="W92" s="283">
        <v>3726.7</v>
      </c>
      <c r="X92" s="282">
        <v>3698.4</v>
      </c>
      <c r="Y92" s="242">
        <v>3689.6</v>
      </c>
      <c r="Z92" s="283">
        <v>3687.5</v>
      </c>
      <c r="AA92" s="282">
        <v>3663.8</v>
      </c>
      <c r="AB92" s="242">
        <v>3661.9</v>
      </c>
      <c r="AC92" s="283">
        <v>3660.5</v>
      </c>
      <c r="AD92" s="282">
        <v>3646.7</v>
      </c>
      <c r="AE92" s="242">
        <v>3646.2</v>
      </c>
      <c r="AF92" s="242"/>
      <c r="AG92" s="283">
        <v>3645.6</v>
      </c>
      <c r="AH92" s="282">
        <v>3638.3</v>
      </c>
      <c r="AI92" s="242"/>
      <c r="AJ92" s="242">
        <v>3637.7</v>
      </c>
      <c r="AK92" s="283">
        <v>3637.2</v>
      </c>
      <c r="AL92" s="282">
        <v>3530.1</v>
      </c>
      <c r="AM92" s="242">
        <v>3629.7</v>
      </c>
    </row>
    <row r="93" spans="2:39">
      <c r="B93" s="242">
        <v>4.5</v>
      </c>
      <c r="C93" s="287">
        <v>34</v>
      </c>
      <c r="D93" s="242"/>
      <c r="E93" s="242"/>
      <c r="F93" s="242"/>
      <c r="G93" s="242"/>
      <c r="H93" s="242"/>
      <c r="J93" s="242"/>
      <c r="K93" s="242"/>
      <c r="L93" s="242"/>
      <c r="M93" s="242"/>
      <c r="N93" s="288"/>
      <c r="O93" s="290"/>
      <c r="P93" s="289">
        <v>4900.8999999999996</v>
      </c>
      <c r="Q93" s="289">
        <v>4900.8999999999996</v>
      </c>
      <c r="R93" s="282">
        <v>4412.8</v>
      </c>
      <c r="S93" s="242">
        <v>4360.5</v>
      </c>
      <c r="T93" s="283">
        <v>4349</v>
      </c>
      <c r="U93" s="282">
        <v>4226</v>
      </c>
      <c r="V93" s="242">
        <v>4204.1000000000004</v>
      </c>
      <c r="W93" s="283">
        <v>4199.2</v>
      </c>
      <c r="X93" s="282">
        <v>4160.3999999999996</v>
      </c>
      <c r="Y93" s="242">
        <v>4148.3999999999996</v>
      </c>
      <c r="Z93" s="283">
        <v>4145.5</v>
      </c>
      <c r="AA93" s="282">
        <v>4113.8999999999996</v>
      </c>
      <c r="AB93" s="242">
        <v>4111.5</v>
      </c>
      <c r="AC93" s="283">
        <v>4109.7</v>
      </c>
      <c r="AD93" s="282">
        <v>4092.1</v>
      </c>
      <c r="AE93" s="242">
        <v>4091.5</v>
      </c>
      <c r="AF93" s="242"/>
      <c r="AG93" s="283">
        <v>4090.6</v>
      </c>
      <c r="AH93" s="282">
        <v>4081.8</v>
      </c>
      <c r="AI93" s="242"/>
      <c r="AJ93" s="242">
        <v>4081</v>
      </c>
      <c r="AK93" s="283">
        <v>4080.5</v>
      </c>
      <c r="AL93" s="282">
        <v>4071.9</v>
      </c>
      <c r="AM93" s="242">
        <v>4071.4</v>
      </c>
    </row>
    <row r="94" spans="2:39">
      <c r="B94" s="242">
        <v>4.75</v>
      </c>
      <c r="C94" s="287">
        <v>35</v>
      </c>
      <c r="D94" s="242"/>
      <c r="E94" s="242"/>
      <c r="F94" s="242"/>
      <c r="G94" s="242"/>
      <c r="H94" s="242"/>
      <c r="J94" s="242"/>
      <c r="K94" s="242"/>
      <c r="L94" s="242"/>
      <c r="M94" s="242"/>
      <c r="N94" s="242"/>
      <c r="O94" s="242"/>
      <c r="R94" s="282">
        <v>5000.7</v>
      </c>
      <c r="S94" s="242">
        <v>4928.1000000000004</v>
      </c>
      <c r="T94" s="283">
        <v>4912.2</v>
      </c>
      <c r="U94" s="282">
        <v>4742.7</v>
      </c>
      <c r="V94" s="242">
        <v>4712.8</v>
      </c>
      <c r="W94" s="283">
        <v>4706.2</v>
      </c>
      <c r="X94" s="282">
        <v>4653.3999999999996</v>
      </c>
      <c r="Y94" s="242">
        <v>4637.2</v>
      </c>
      <c r="Z94" s="283">
        <v>4633.3999999999996</v>
      </c>
      <c r="AA94" s="282">
        <v>4591.5</v>
      </c>
      <c r="AB94" s="242">
        <v>4588.3999999999996</v>
      </c>
      <c r="AC94" s="283">
        <v>4586</v>
      </c>
      <c r="AD94" s="282">
        <v>4563.7</v>
      </c>
      <c r="AE94" s="242">
        <v>4562.8999999999996</v>
      </c>
      <c r="AF94" s="242"/>
      <c r="AG94" s="283">
        <v>4561.8999999999996</v>
      </c>
      <c r="AH94" s="282">
        <v>4551.1000000000004</v>
      </c>
      <c r="AI94" s="242"/>
      <c r="AJ94" s="242">
        <v>4550.1000000000004</v>
      </c>
      <c r="AK94" s="283">
        <v>4549.5</v>
      </c>
      <c r="AL94" s="282">
        <v>4539.3999999999996</v>
      </c>
      <c r="AM94" s="242">
        <v>4538.8</v>
      </c>
    </row>
    <row r="95" spans="2:39">
      <c r="B95" s="242">
        <v>5</v>
      </c>
      <c r="C95" s="287">
        <v>36</v>
      </c>
      <c r="D95" s="242"/>
      <c r="E95" s="242"/>
      <c r="F95" s="242"/>
      <c r="G95" s="242"/>
      <c r="H95" s="242"/>
      <c r="J95" s="242"/>
      <c r="K95" s="242"/>
      <c r="L95" s="242"/>
      <c r="M95" s="242"/>
      <c r="N95" s="242"/>
      <c r="O95" s="242"/>
      <c r="R95" s="282">
        <v>5650</v>
      </c>
      <c r="S95" s="242">
        <v>5551.1</v>
      </c>
      <c r="T95" s="283">
        <v>5529.5</v>
      </c>
      <c r="U95" s="282">
        <v>5298.6</v>
      </c>
      <c r="V95" s="242">
        <v>5258.5</v>
      </c>
      <c r="W95" s="283">
        <v>5249.6</v>
      </c>
      <c r="X95" s="282">
        <v>5179</v>
      </c>
      <c r="Y95" s="242">
        <v>5157.3999999999996</v>
      </c>
      <c r="Z95" s="283">
        <v>5152.3</v>
      </c>
      <c r="AA95" s="282">
        <v>5097.2</v>
      </c>
      <c r="AB95" s="242">
        <v>5093.1000000000004</v>
      </c>
      <c r="AC95" s="283">
        <v>5090.1000000000004</v>
      </c>
      <c r="AD95" s="282">
        <v>5061.8</v>
      </c>
      <c r="AE95" s="242">
        <v>5060.8</v>
      </c>
      <c r="AF95" s="242"/>
      <c r="AG95" s="283">
        <v>5059.6000000000004</v>
      </c>
      <c r="AH95" s="282">
        <v>5046.3999999999996</v>
      </c>
      <c r="AI95" s="242"/>
      <c r="AJ95" s="242">
        <v>5045.2</v>
      </c>
      <c r="AK95" s="283">
        <v>5044.5</v>
      </c>
      <c r="AL95" s="282">
        <v>5032.5</v>
      </c>
      <c r="AM95" s="242">
        <v>5031.8</v>
      </c>
    </row>
    <row r="96" spans="2:39">
      <c r="B96" s="242">
        <v>5.25</v>
      </c>
      <c r="C96" s="287">
        <v>37</v>
      </c>
      <c r="D96" s="242"/>
      <c r="E96" s="242"/>
      <c r="F96" s="242"/>
      <c r="G96" s="242"/>
      <c r="H96" s="242"/>
      <c r="J96" s="242"/>
      <c r="K96" s="242"/>
      <c r="L96" s="242"/>
      <c r="M96" s="242"/>
      <c r="N96" s="242"/>
      <c r="O96" s="242"/>
      <c r="R96" s="282">
        <v>6369.3</v>
      </c>
      <c r="S96" s="242">
        <v>6236.4</v>
      </c>
      <c r="T96" s="283">
        <v>6207.3</v>
      </c>
      <c r="U96" s="282">
        <v>5897.4</v>
      </c>
      <c r="V96" s="242">
        <v>5843.6</v>
      </c>
      <c r="W96" s="283">
        <v>5831.8</v>
      </c>
      <c r="X96" s="282">
        <v>5738.5</v>
      </c>
      <c r="Y96" s="242">
        <v>5710</v>
      </c>
      <c r="Z96" s="283">
        <v>5703.3</v>
      </c>
      <c r="AA96" s="282">
        <v>5631.4</v>
      </c>
      <c r="AB96" s="242">
        <v>5626.1</v>
      </c>
      <c r="AC96" s="283">
        <v>5622.3</v>
      </c>
      <c r="AD96" s="282">
        <v>5586.6</v>
      </c>
      <c r="AE96" s="242">
        <v>5585.4</v>
      </c>
      <c r="AF96" s="242"/>
      <c r="AG96" s="283">
        <v>5583.8</v>
      </c>
      <c r="AH96" s="282">
        <v>5567.7</v>
      </c>
      <c r="AI96" s="242"/>
      <c r="AJ96" s="242">
        <v>5566.4</v>
      </c>
      <c r="AK96" s="283">
        <v>5565.5</v>
      </c>
      <c r="AL96" s="282">
        <v>5551.3</v>
      </c>
      <c r="AM96" s="242">
        <v>5550.5</v>
      </c>
    </row>
    <row r="97" spans="1:86">
      <c r="B97" s="242">
        <v>5.5</v>
      </c>
      <c r="C97" s="287">
        <v>38</v>
      </c>
      <c r="D97" s="242"/>
      <c r="E97" s="242"/>
      <c r="F97" s="242"/>
      <c r="G97" s="242"/>
      <c r="H97" s="242"/>
      <c r="J97" s="242"/>
      <c r="K97" s="242"/>
      <c r="L97" s="242"/>
      <c r="M97" s="242"/>
      <c r="N97" s="242"/>
      <c r="O97" s="242"/>
      <c r="R97" s="282">
        <v>7170.9</v>
      </c>
      <c r="S97" s="242">
        <v>6992</v>
      </c>
      <c r="T97" s="283">
        <v>6953.6</v>
      </c>
      <c r="U97" s="282">
        <v>6543.1</v>
      </c>
      <c r="V97" s="242">
        <v>6471.9</v>
      </c>
      <c r="W97" s="283">
        <v>6456.3</v>
      </c>
      <c r="X97" s="282">
        <v>6333.8</v>
      </c>
      <c r="Y97" s="242">
        <v>6296.6</v>
      </c>
      <c r="Z97" s="283">
        <v>6287.9</v>
      </c>
      <c r="AA97" s="282">
        <v>6194.8</v>
      </c>
      <c r="AB97" s="242">
        <v>6188.1</v>
      </c>
      <c r="AC97" s="283">
        <v>6183.1</v>
      </c>
      <c r="AD97" s="282">
        <v>6138.2</v>
      </c>
      <c r="AE97" s="242">
        <v>6136.7</v>
      </c>
      <c r="AF97" s="242"/>
      <c r="AG97" s="283">
        <v>6134.8</v>
      </c>
      <c r="AH97" s="282">
        <v>6115.3</v>
      </c>
      <c r="AI97" s="242"/>
      <c r="AJ97" s="242">
        <v>6113.6</v>
      </c>
      <c r="AK97" s="283">
        <v>6112.6</v>
      </c>
      <c r="AL97" s="282">
        <v>6095.8</v>
      </c>
      <c r="AM97" s="242">
        <v>6094.9</v>
      </c>
    </row>
    <row r="98" spans="1:86">
      <c r="B98" s="242">
        <v>5.75</v>
      </c>
      <c r="C98" s="287">
        <v>39</v>
      </c>
      <c r="D98" s="242"/>
      <c r="E98" s="242"/>
      <c r="F98" s="242"/>
      <c r="G98" s="242"/>
      <c r="H98" s="242"/>
      <c r="J98" s="242"/>
      <c r="K98" s="242"/>
      <c r="L98" s="242"/>
      <c r="M98" s="242"/>
      <c r="N98" s="242"/>
      <c r="O98" s="242"/>
      <c r="R98" s="282"/>
      <c r="S98" s="242">
        <v>7830</v>
      </c>
      <c r="T98" s="283">
        <v>7777.8</v>
      </c>
      <c r="U98" s="282">
        <v>7240</v>
      </c>
      <c r="V98" s="242">
        <v>7146.9</v>
      </c>
      <c r="W98" s="283">
        <v>7126.5</v>
      </c>
      <c r="X98" s="282">
        <v>6966.9</v>
      </c>
      <c r="Y98" s="242">
        <v>6919</v>
      </c>
      <c r="Z98" s="283">
        <v>6907.8</v>
      </c>
      <c r="AA98" s="282">
        <v>6788.1</v>
      </c>
      <c r="AB98" s="242">
        <v>6779.6</v>
      </c>
      <c r="AC98" s="283">
        <v>6773.3</v>
      </c>
      <c r="AD98" s="282">
        <v>6717</v>
      </c>
      <c r="AE98" s="242">
        <v>6715.2</v>
      </c>
      <c r="AF98" s="242"/>
      <c r="AG98" s="283">
        <v>6712.8</v>
      </c>
      <c r="AH98" s="282">
        <v>6689.1</v>
      </c>
      <c r="AI98" s="242"/>
      <c r="AJ98" s="242">
        <v>6687.2</v>
      </c>
      <c r="AK98" s="283">
        <v>6685.9</v>
      </c>
      <c r="AL98" s="282">
        <v>6666.2</v>
      </c>
      <c r="AM98" s="242">
        <v>6665.2</v>
      </c>
    </row>
    <row r="99" spans="1:86">
      <c r="B99" s="242">
        <v>6</v>
      </c>
      <c r="C99" s="287">
        <v>40</v>
      </c>
      <c r="D99" s="242"/>
      <c r="E99" s="242"/>
      <c r="F99" s="242"/>
      <c r="G99" s="242"/>
      <c r="H99" s="242"/>
      <c r="J99" s="242"/>
      <c r="K99" s="242"/>
      <c r="L99" s="242"/>
      <c r="M99" s="242"/>
      <c r="N99" s="242"/>
      <c r="O99" s="242"/>
      <c r="R99" s="288"/>
      <c r="S99" s="290"/>
      <c r="T99" s="289">
        <v>8706.9</v>
      </c>
      <c r="U99" s="282">
        <v>7993.3</v>
      </c>
      <c r="V99" s="242">
        <v>7873</v>
      </c>
      <c r="W99" s="283">
        <v>7846.6</v>
      </c>
      <c r="X99" s="282">
        <v>7640.4</v>
      </c>
      <c r="Y99" s="242">
        <v>7579</v>
      </c>
      <c r="Z99" s="283">
        <v>7564.7</v>
      </c>
      <c r="AA99" s="282">
        <v>7412.3</v>
      </c>
      <c r="AB99" s="242">
        <v>7401.5</v>
      </c>
      <c r="AC99" s="283">
        <v>7393.6</v>
      </c>
      <c r="AD99" s="282">
        <v>7323.4</v>
      </c>
      <c r="AE99" s="242">
        <v>7321.1</v>
      </c>
      <c r="AF99" s="242"/>
      <c r="AG99" s="283">
        <v>7318.2</v>
      </c>
      <c r="AH99" s="282">
        <v>7289.4</v>
      </c>
      <c r="AI99" s="242"/>
      <c r="AJ99" s="242">
        <v>7287.1</v>
      </c>
      <c r="AK99" s="283">
        <v>7285.6</v>
      </c>
      <c r="AL99" s="282">
        <v>7262.5</v>
      </c>
      <c r="AM99" s="242">
        <v>7261.3</v>
      </c>
    </row>
    <row r="100" spans="1:86" s="4" customFormat="1">
      <c r="A100" s="1"/>
      <c r="B100" s="242">
        <v>6.25</v>
      </c>
      <c r="C100" s="287">
        <v>41</v>
      </c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82">
        <v>8808.9</v>
      </c>
      <c r="V100" s="242">
        <v>8654.7999999999993</v>
      </c>
      <c r="W100" s="283">
        <v>8621.1</v>
      </c>
      <c r="X100" s="282">
        <v>8357.2999999999993</v>
      </c>
      <c r="Y100" s="242">
        <v>8278.9</v>
      </c>
      <c r="Z100" s="283">
        <v>8260.7000000000007</v>
      </c>
      <c r="AA100" s="282">
        <v>8068.4</v>
      </c>
      <c r="AB100" s="242">
        <v>8054.8</v>
      </c>
      <c r="AC100" s="283">
        <v>8044.8</v>
      </c>
      <c r="AD100" s="282">
        <v>7957.5</v>
      </c>
      <c r="AE100" s="242">
        <v>7954.7</v>
      </c>
      <c r="AF100" s="242"/>
      <c r="AG100" s="283">
        <v>7951.2</v>
      </c>
      <c r="AH100" s="282">
        <v>7916.4</v>
      </c>
      <c r="AI100" s="242"/>
      <c r="AJ100" s="242">
        <v>7913.6</v>
      </c>
      <c r="AK100" s="283">
        <v>7911.9</v>
      </c>
      <c r="AL100" s="282">
        <v>7884.7</v>
      </c>
      <c r="AM100" s="242">
        <v>7883.4</v>
      </c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</row>
    <row r="101" spans="1:86" s="6" customFormat="1">
      <c r="A101" s="1"/>
      <c r="B101" s="242">
        <v>6.5</v>
      </c>
      <c r="C101" s="287">
        <v>42</v>
      </c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  <c r="U101" s="282">
        <v>9693.2999999999993</v>
      </c>
      <c r="V101" s="242">
        <v>9498.1</v>
      </c>
      <c r="W101" s="283">
        <v>9455.2999999999993</v>
      </c>
      <c r="X101" s="282">
        <v>9121</v>
      </c>
      <c r="Y101" s="242">
        <v>9021.7000000000007</v>
      </c>
      <c r="Z101" s="283">
        <v>8998.7000000000007</v>
      </c>
      <c r="AA101" s="282">
        <v>8757.2999999999993</v>
      </c>
      <c r="AB101" s="242">
        <v>8740.2999999999993</v>
      </c>
      <c r="AC101" s="283">
        <v>8727.9</v>
      </c>
      <c r="AD101" s="282">
        <v>8620</v>
      </c>
      <c r="AE101" s="242">
        <v>8616.5</v>
      </c>
      <c r="AF101" s="242"/>
      <c r="AG101" s="283">
        <v>8612.2000000000007</v>
      </c>
      <c r="AH101" s="282">
        <v>8570.2000000000007</v>
      </c>
      <c r="AI101" s="242"/>
      <c r="AJ101" s="242">
        <v>8566.9</v>
      </c>
      <c r="AK101" s="283">
        <v>8564.7999999999993</v>
      </c>
      <c r="AL101" s="282">
        <v>8533</v>
      </c>
      <c r="AM101" s="242">
        <v>8531.4</v>
      </c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79"/>
      <c r="BC101" s="179"/>
      <c r="BD101" s="179"/>
      <c r="BE101" s="179"/>
      <c r="BF101" s="179"/>
      <c r="BG101" s="179"/>
      <c r="BH101" s="179"/>
      <c r="BI101" s="179"/>
      <c r="BJ101" s="179"/>
      <c r="BK101" s="179"/>
      <c r="BL101" s="179"/>
      <c r="BM101" s="179"/>
      <c r="BN101" s="179"/>
      <c r="BO101" s="179"/>
      <c r="BP101" s="179"/>
      <c r="BQ101" s="179"/>
      <c r="BR101" s="179"/>
      <c r="BS101" s="179"/>
      <c r="BT101" s="179"/>
      <c r="BU101" s="179"/>
      <c r="BV101" s="179"/>
      <c r="BW101" s="179"/>
      <c r="BX101" s="179"/>
      <c r="BY101" s="179"/>
      <c r="BZ101" s="179"/>
      <c r="CA101" s="179"/>
      <c r="CB101" s="179"/>
      <c r="CC101" s="179"/>
      <c r="CD101" s="179"/>
      <c r="CE101" s="179"/>
      <c r="CF101" s="179"/>
      <c r="CG101" s="179"/>
      <c r="CH101" s="179"/>
    </row>
    <row r="102" spans="1:86">
      <c r="B102" s="242">
        <v>6.75</v>
      </c>
      <c r="C102" s="287">
        <v>43</v>
      </c>
      <c r="D102" s="242"/>
      <c r="E102" s="242"/>
      <c r="F102" s="242"/>
      <c r="G102" s="242"/>
      <c r="H102" s="242"/>
      <c r="J102" s="242"/>
      <c r="K102" s="242"/>
      <c r="L102" s="242"/>
      <c r="M102" s="242"/>
      <c r="N102" s="242"/>
      <c r="O102" s="242"/>
      <c r="U102" s="282">
        <v>10654</v>
      </c>
      <c r="V102" s="242">
        <v>10409</v>
      </c>
      <c r="W102" s="283">
        <v>10355</v>
      </c>
      <c r="X102" s="282">
        <v>9935.2000000000007</v>
      </c>
      <c r="Y102" s="242">
        <v>9810.5</v>
      </c>
      <c r="Z102" s="283">
        <v>9781.6</v>
      </c>
      <c r="AA102" s="282">
        <v>9480.4</v>
      </c>
      <c r="AB102" s="242">
        <v>9459.4</v>
      </c>
      <c r="AC102" s="283">
        <v>9444</v>
      </c>
      <c r="AD102" s="282">
        <v>9311.1</v>
      </c>
      <c r="AE102" s="242">
        <v>9306.9</v>
      </c>
      <c r="AF102" s="242"/>
      <c r="AG102" s="283">
        <v>9310.6</v>
      </c>
      <c r="AH102" s="282">
        <v>9251.1</v>
      </c>
      <c r="AI102" s="242"/>
      <c r="AJ102" s="242">
        <v>9247.2000000000007</v>
      </c>
      <c r="AK102" s="283">
        <v>9244.7000000000007</v>
      </c>
      <c r="AL102" s="282">
        <v>9207.4</v>
      </c>
      <c r="AM102" s="242">
        <v>9205.5</v>
      </c>
    </row>
    <row r="103" spans="1:86" s="10" customFormat="1" ht="15.6">
      <c r="A103" s="1"/>
      <c r="B103" s="242">
        <v>7</v>
      </c>
      <c r="C103" s="287">
        <v>44</v>
      </c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82">
        <v>11711</v>
      </c>
      <c r="V103" s="242">
        <v>11394</v>
      </c>
      <c r="W103" s="283">
        <v>11327</v>
      </c>
      <c r="X103" s="282">
        <v>10804</v>
      </c>
      <c r="Y103" s="242">
        <v>10649</v>
      </c>
      <c r="Z103" s="283">
        <v>10613</v>
      </c>
      <c r="AA103" s="282">
        <v>10239</v>
      </c>
      <c r="AB103" s="242">
        <v>10213</v>
      </c>
      <c r="AC103" s="283">
        <v>10194</v>
      </c>
      <c r="AD103" s="282">
        <v>10031</v>
      </c>
      <c r="AE103" s="242">
        <v>10026</v>
      </c>
      <c r="AF103" s="242"/>
      <c r="AG103" s="283">
        <v>10020</v>
      </c>
      <c r="AH103" s="282">
        <v>9959.2999999999993</v>
      </c>
      <c r="AI103" s="242"/>
      <c r="AJ103" s="242">
        <v>9954.6</v>
      </c>
      <c r="AK103" s="283">
        <v>9951.7000000000007</v>
      </c>
      <c r="AL103" s="282">
        <v>9908</v>
      </c>
      <c r="AM103" s="242">
        <v>9905.9</v>
      </c>
      <c r="AN103" s="291"/>
      <c r="AO103" s="291"/>
      <c r="AP103" s="291"/>
      <c r="AQ103" s="291"/>
      <c r="AR103" s="291"/>
      <c r="AS103" s="291"/>
      <c r="AT103" s="291"/>
      <c r="AU103" s="291"/>
      <c r="AV103" s="291"/>
      <c r="AW103" s="291"/>
      <c r="AX103" s="291"/>
      <c r="AY103" s="291"/>
      <c r="AZ103" s="291"/>
      <c r="BA103" s="291"/>
      <c r="BB103" s="291"/>
      <c r="BC103" s="291"/>
      <c r="BD103" s="291"/>
      <c r="BE103" s="291"/>
      <c r="BF103" s="291"/>
      <c r="BG103" s="291"/>
      <c r="BH103" s="291"/>
      <c r="BI103" s="291"/>
      <c r="BJ103" s="291"/>
      <c r="BK103" s="291"/>
      <c r="BL103" s="291"/>
      <c r="BM103" s="291"/>
      <c r="BN103" s="291"/>
      <c r="BO103" s="291"/>
      <c r="BP103" s="291"/>
      <c r="BQ103" s="291"/>
      <c r="BR103" s="291"/>
      <c r="BS103" s="291"/>
      <c r="BT103" s="291"/>
      <c r="BU103" s="291"/>
      <c r="BV103" s="291"/>
      <c r="BW103" s="291"/>
      <c r="BX103" s="291"/>
      <c r="BY103" s="291"/>
      <c r="BZ103" s="291"/>
      <c r="CA103" s="291"/>
      <c r="CB103" s="291"/>
      <c r="CC103" s="291"/>
      <c r="CD103" s="291"/>
      <c r="CE103" s="291"/>
      <c r="CF103" s="291"/>
      <c r="CG103" s="291"/>
      <c r="CH103" s="291"/>
    </row>
    <row r="104" spans="1:86" s="11" customFormat="1">
      <c r="A104" s="1"/>
      <c r="B104" s="242">
        <v>7.25</v>
      </c>
      <c r="C104" s="287">
        <v>45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82">
        <v>12900</v>
      </c>
      <c r="V104" s="242">
        <v>12467</v>
      </c>
      <c r="W104" s="283">
        <v>12381</v>
      </c>
      <c r="X104" s="282">
        <v>11732</v>
      </c>
      <c r="Y104" s="242">
        <v>11540</v>
      </c>
      <c r="Z104" s="283">
        <v>11496</v>
      </c>
      <c r="AA104" s="282">
        <v>11035</v>
      </c>
      <c r="AB104" s="242">
        <v>11003</v>
      </c>
      <c r="AC104" s="283">
        <v>10980</v>
      </c>
      <c r="AD104" s="282">
        <v>10782</v>
      </c>
      <c r="AE104" s="242">
        <v>10776</v>
      </c>
      <c r="AF104" s="242"/>
      <c r="AG104" s="283">
        <v>10768</v>
      </c>
      <c r="AH104" s="282">
        <v>10695</v>
      </c>
      <c r="AI104" s="242"/>
      <c r="AJ104" s="242">
        <v>10689</v>
      </c>
      <c r="AK104" s="283">
        <v>10686</v>
      </c>
      <c r="AL104" s="282">
        <v>10635</v>
      </c>
      <c r="AM104" s="242">
        <v>10633</v>
      </c>
      <c r="AN104" s="292"/>
      <c r="AO104" s="292"/>
      <c r="AP104" s="292"/>
      <c r="AQ104" s="292"/>
      <c r="AR104" s="292"/>
      <c r="AS104" s="292"/>
      <c r="AT104" s="292"/>
      <c r="AU104" s="292"/>
      <c r="AV104" s="292"/>
      <c r="AW104" s="292"/>
      <c r="AX104" s="292"/>
      <c r="AY104" s="292"/>
      <c r="AZ104" s="292"/>
      <c r="BA104" s="292"/>
      <c r="BB104" s="292"/>
      <c r="BC104" s="292"/>
      <c r="BD104" s="292"/>
      <c r="BE104" s="292"/>
      <c r="BF104" s="292"/>
      <c r="BG104" s="292"/>
      <c r="BH104" s="292"/>
      <c r="BI104" s="292"/>
      <c r="BJ104" s="292"/>
      <c r="BK104" s="292"/>
      <c r="BL104" s="292"/>
      <c r="BM104" s="292"/>
      <c r="BN104" s="292"/>
      <c r="BO104" s="292"/>
      <c r="BP104" s="292"/>
      <c r="BQ104" s="292"/>
      <c r="BR104" s="292"/>
      <c r="BS104" s="292"/>
      <c r="BT104" s="292"/>
      <c r="BU104" s="292"/>
      <c r="BV104" s="292"/>
      <c r="BW104" s="292"/>
      <c r="BX104" s="292"/>
      <c r="BY104" s="292"/>
      <c r="BZ104" s="292"/>
      <c r="CA104" s="292"/>
      <c r="CB104" s="292"/>
      <c r="CC104" s="292"/>
      <c r="CD104" s="292"/>
      <c r="CE104" s="292"/>
      <c r="CF104" s="292"/>
      <c r="CG104" s="292"/>
      <c r="CH104" s="292"/>
    </row>
    <row r="105" spans="1:86">
      <c r="B105" s="242">
        <v>7.5</v>
      </c>
      <c r="C105" s="287">
        <v>46</v>
      </c>
      <c r="D105" s="242"/>
      <c r="E105" s="242"/>
      <c r="F105" s="242"/>
      <c r="G105" s="242"/>
      <c r="H105" s="242"/>
      <c r="J105" s="242"/>
      <c r="K105" s="242"/>
      <c r="L105" s="242"/>
      <c r="M105" s="242"/>
      <c r="N105" s="242"/>
      <c r="O105" s="242"/>
      <c r="U105" s="288">
        <v>14200</v>
      </c>
      <c r="V105" s="290">
        <v>13656</v>
      </c>
      <c r="W105" s="289">
        <v>13541</v>
      </c>
      <c r="X105" s="282">
        <v>12725</v>
      </c>
      <c r="Y105" s="242">
        <v>12489</v>
      </c>
      <c r="Z105" s="283">
        <v>12434</v>
      </c>
      <c r="AA105" s="282">
        <v>11869</v>
      </c>
      <c r="AB105" s="242">
        <v>11831</v>
      </c>
      <c r="AC105" s="283">
        <v>11803</v>
      </c>
      <c r="AD105" s="282">
        <v>11562</v>
      </c>
      <c r="AE105" s="242">
        <v>11555</v>
      </c>
      <c r="AF105" s="242"/>
      <c r="AG105" s="283">
        <v>11546</v>
      </c>
      <c r="AH105" s="282">
        <v>11459</v>
      </c>
      <c r="AI105" s="242"/>
      <c r="AJ105" s="242">
        <v>11452</v>
      </c>
      <c r="AK105" s="283">
        <v>11448</v>
      </c>
      <c r="AL105" s="282">
        <v>11388</v>
      </c>
      <c r="AM105" s="242">
        <v>11386</v>
      </c>
      <c r="AN105" s="242"/>
      <c r="AO105" s="242"/>
      <c r="AP105" s="242"/>
      <c r="AQ105" s="242"/>
      <c r="AR105" s="242"/>
      <c r="AS105" s="242"/>
      <c r="AT105" s="242"/>
    </row>
    <row r="106" spans="1:86">
      <c r="B106" s="242">
        <v>7.75</v>
      </c>
      <c r="C106" s="287">
        <v>47</v>
      </c>
      <c r="D106" s="242"/>
      <c r="E106" s="242"/>
      <c r="F106" s="242"/>
      <c r="G106" s="242"/>
      <c r="H106" s="242"/>
      <c r="J106" s="242"/>
      <c r="K106" s="242"/>
      <c r="L106" s="242"/>
      <c r="M106" s="242"/>
      <c r="N106" s="242"/>
      <c r="O106" s="242"/>
      <c r="U106" s="242"/>
      <c r="V106" s="242"/>
      <c r="W106" s="242"/>
      <c r="X106" s="282">
        <v>13787</v>
      </c>
      <c r="Y106" s="242">
        <v>13500</v>
      </c>
      <c r="Z106" s="283">
        <v>13433</v>
      </c>
      <c r="AA106" s="282">
        <v>12745</v>
      </c>
      <c r="AB106" s="242">
        <v>12698</v>
      </c>
      <c r="AC106" s="283">
        <v>12664</v>
      </c>
      <c r="AD106" s="282">
        <v>12374</v>
      </c>
      <c r="AE106" s="242">
        <v>12365</v>
      </c>
      <c r="AF106" s="242"/>
      <c r="AG106" s="283">
        <v>12354</v>
      </c>
      <c r="AH106" s="282">
        <v>12250</v>
      </c>
      <c r="AI106" s="242"/>
      <c r="AJ106" s="242">
        <v>12243</v>
      </c>
      <c r="AK106" s="283">
        <v>12238</v>
      </c>
      <c r="AL106" s="282">
        <v>12168</v>
      </c>
      <c r="AM106" s="242">
        <v>12165</v>
      </c>
      <c r="AN106" s="242"/>
      <c r="AO106" s="242"/>
      <c r="AP106" s="242"/>
      <c r="AQ106" s="242"/>
      <c r="AR106" s="242"/>
      <c r="AS106" s="242"/>
      <c r="AT106" s="242"/>
    </row>
    <row r="107" spans="1:86">
      <c r="B107" s="242">
        <v>8</v>
      </c>
      <c r="C107" s="287">
        <v>48</v>
      </c>
      <c r="D107" s="242"/>
      <c r="E107" s="242"/>
      <c r="F107" s="242"/>
      <c r="G107" s="242"/>
      <c r="H107" s="242"/>
      <c r="J107" s="242"/>
      <c r="K107" s="242"/>
      <c r="L107" s="242"/>
      <c r="M107" s="242"/>
      <c r="N107" s="242"/>
      <c r="O107" s="242"/>
      <c r="U107" s="242"/>
      <c r="V107" s="242"/>
      <c r="W107" s="242"/>
      <c r="X107" s="282">
        <v>14927</v>
      </c>
      <c r="Y107" s="242">
        <v>14578</v>
      </c>
      <c r="Z107" s="283">
        <v>14498</v>
      </c>
      <c r="AA107" s="282">
        <v>13664</v>
      </c>
      <c r="AB107" s="242">
        <v>13607</v>
      </c>
      <c r="AC107" s="283">
        <v>13566</v>
      </c>
      <c r="AD107" s="282">
        <v>13218</v>
      </c>
      <c r="AE107" s="242">
        <v>13207</v>
      </c>
      <c r="AF107" s="242"/>
      <c r="AG107" s="283">
        <v>13194</v>
      </c>
      <c r="AH107" s="282">
        <v>13071</v>
      </c>
      <c r="AI107" s="242"/>
      <c r="AJ107" s="242">
        <v>13062</v>
      </c>
      <c r="AK107" s="283">
        <v>13056</v>
      </c>
      <c r="AL107" s="282">
        <v>12975</v>
      </c>
      <c r="AM107" s="242">
        <v>12971</v>
      </c>
      <c r="AN107" s="242"/>
      <c r="AO107" s="242"/>
      <c r="AP107" s="242"/>
      <c r="AQ107" s="242"/>
      <c r="AR107" s="242"/>
      <c r="AS107" s="242"/>
      <c r="AT107" s="242"/>
    </row>
    <row r="108" spans="1:86">
      <c r="B108" s="242">
        <v>8.25</v>
      </c>
      <c r="C108" s="287">
        <v>49</v>
      </c>
      <c r="D108" s="242"/>
      <c r="E108" s="242"/>
      <c r="F108" s="242"/>
      <c r="G108" s="242"/>
      <c r="H108" s="242"/>
      <c r="J108" s="242"/>
      <c r="K108" s="242"/>
      <c r="L108" s="242"/>
      <c r="M108" s="242"/>
      <c r="N108" s="242"/>
      <c r="O108" s="242"/>
      <c r="U108" s="242"/>
      <c r="V108" s="242"/>
      <c r="W108" s="242"/>
      <c r="X108" s="282">
        <v>16158</v>
      </c>
      <c r="Y108" s="242">
        <v>15730</v>
      </c>
      <c r="Z108" s="283">
        <v>15633</v>
      </c>
      <c r="AA108" s="282">
        <v>14628</v>
      </c>
      <c r="AB108" s="242">
        <v>14560</v>
      </c>
      <c r="AC108" s="283">
        <v>14511</v>
      </c>
      <c r="AD108" s="282">
        <v>14095</v>
      </c>
      <c r="AE108" s="242">
        <v>14082</v>
      </c>
      <c r="AF108" s="242"/>
      <c r="AG108" s="283">
        <v>14066</v>
      </c>
      <c r="AH108" s="282">
        <v>13920</v>
      </c>
      <c r="AI108" s="242"/>
      <c r="AJ108" s="242">
        <v>13910</v>
      </c>
      <c r="AK108" s="283">
        <v>13903</v>
      </c>
      <c r="AL108" s="282">
        <v>13809</v>
      </c>
      <c r="AM108" s="242">
        <v>13805</v>
      </c>
      <c r="AN108" s="242"/>
      <c r="AO108" s="242"/>
      <c r="AP108" s="242"/>
      <c r="AQ108" s="242"/>
      <c r="AR108" s="242"/>
      <c r="AS108" s="242"/>
      <c r="AT108" s="242"/>
    </row>
    <row r="109" spans="1:86">
      <c r="B109" s="242">
        <v>8.5</v>
      </c>
      <c r="C109" s="287">
        <v>50</v>
      </c>
      <c r="D109" s="242"/>
      <c r="E109" s="242"/>
      <c r="F109" s="242"/>
      <c r="G109" s="242"/>
      <c r="H109" s="242"/>
      <c r="J109" s="242"/>
      <c r="K109" s="242"/>
      <c r="L109" s="242"/>
      <c r="M109" s="242"/>
      <c r="N109" s="242"/>
      <c r="O109" s="242"/>
      <c r="U109" s="242"/>
      <c r="V109" s="242"/>
      <c r="W109" s="242"/>
      <c r="X109" s="282">
        <v>17505</v>
      </c>
      <c r="Y109" s="242">
        <v>16962</v>
      </c>
      <c r="Z109" s="283">
        <v>16845</v>
      </c>
      <c r="AA109" s="282">
        <v>15624</v>
      </c>
      <c r="AB109" s="242">
        <v>15560</v>
      </c>
      <c r="AC109" s="283">
        <v>15501</v>
      </c>
      <c r="AD109" s="282">
        <v>15005</v>
      </c>
      <c r="AE109" s="242">
        <v>14990</v>
      </c>
      <c r="AF109" s="242"/>
      <c r="AG109" s="283">
        <v>14971</v>
      </c>
      <c r="AH109" s="282">
        <v>14799</v>
      </c>
      <c r="AI109" s="242"/>
      <c r="AJ109" s="242">
        <v>14787</v>
      </c>
      <c r="AK109" s="283">
        <v>14779</v>
      </c>
      <c r="AL109" s="282">
        <v>14669</v>
      </c>
      <c r="AM109" s="242">
        <v>14665</v>
      </c>
      <c r="AN109" s="242"/>
      <c r="AO109" s="242"/>
      <c r="AP109" s="242"/>
      <c r="AQ109" s="242"/>
      <c r="AR109" s="242"/>
      <c r="AS109" s="242"/>
      <c r="AT109" s="242"/>
    </row>
    <row r="110" spans="1:86" ht="16.5" customHeight="1">
      <c r="B110" s="242">
        <v>8.75</v>
      </c>
      <c r="C110" s="287">
        <v>51</v>
      </c>
      <c r="D110" s="242"/>
      <c r="E110" s="242"/>
      <c r="F110" s="242"/>
      <c r="G110" s="242"/>
      <c r="H110" s="242"/>
      <c r="J110" s="242"/>
      <c r="K110" s="242"/>
      <c r="L110" s="242"/>
      <c r="M110" s="242"/>
      <c r="N110" s="242"/>
      <c r="O110" s="242"/>
      <c r="U110" s="242"/>
      <c r="V110" s="242"/>
      <c r="W110" s="242"/>
      <c r="X110" s="282"/>
      <c r="Y110" s="242">
        <v>18296</v>
      </c>
      <c r="Z110" s="283">
        <v>18148</v>
      </c>
      <c r="AA110" s="282">
        <v>10706</v>
      </c>
      <c r="AB110" s="242">
        <v>16609</v>
      </c>
      <c r="AC110" s="283">
        <v>16539</v>
      </c>
      <c r="AD110" s="282">
        <v>15950</v>
      </c>
      <c r="AE110" s="242">
        <v>15933</v>
      </c>
      <c r="AF110" s="242"/>
      <c r="AG110" s="283">
        <v>15911</v>
      </c>
      <c r="AH110" s="282">
        <v>15708</v>
      </c>
      <c r="AI110" s="242"/>
      <c r="AJ110" s="242">
        <v>15693</v>
      </c>
      <c r="AK110" s="283">
        <v>15684</v>
      </c>
      <c r="AL110" s="282">
        <v>15557</v>
      </c>
      <c r="AM110" s="242">
        <v>15552</v>
      </c>
      <c r="AN110" s="242"/>
      <c r="AO110" s="242"/>
      <c r="AP110" s="242"/>
      <c r="AQ110" s="242"/>
      <c r="AR110" s="242"/>
      <c r="AS110" s="242"/>
      <c r="AT110" s="242"/>
    </row>
    <row r="111" spans="1:86" ht="17.25" customHeight="1">
      <c r="B111" s="242">
        <v>9</v>
      </c>
      <c r="C111" s="287">
        <v>52</v>
      </c>
      <c r="D111" s="242"/>
      <c r="E111" s="242"/>
      <c r="F111" s="242"/>
      <c r="G111" s="242"/>
      <c r="H111" s="242"/>
      <c r="J111" s="242"/>
      <c r="K111" s="242"/>
      <c r="L111" s="242"/>
      <c r="M111" s="242"/>
      <c r="N111" s="242"/>
      <c r="O111" s="242"/>
      <c r="U111" s="242"/>
      <c r="V111" s="242"/>
      <c r="W111" s="242"/>
      <c r="X111" s="288"/>
      <c r="Y111" s="290"/>
      <c r="Z111" s="289">
        <v>19565</v>
      </c>
      <c r="AA111" s="282">
        <v>17826</v>
      </c>
      <c r="AB111" s="242">
        <v>17711</v>
      </c>
      <c r="AC111" s="283">
        <v>17628</v>
      </c>
      <c r="AD111" s="282">
        <v>16932</v>
      </c>
      <c r="AE111" s="242">
        <v>16911</v>
      </c>
      <c r="AF111" s="242"/>
      <c r="AG111" s="283">
        <v>16885</v>
      </c>
      <c r="AH111" s="282">
        <v>16648</v>
      </c>
      <c r="AI111" s="242"/>
      <c r="AJ111" s="242">
        <v>16630</v>
      </c>
      <c r="AK111" s="283">
        <v>16620</v>
      </c>
      <c r="AL111" s="282">
        <v>16473</v>
      </c>
      <c r="AM111" s="242">
        <v>16466</v>
      </c>
      <c r="AN111" s="242"/>
      <c r="AO111" s="242"/>
      <c r="AP111" s="242"/>
      <c r="AQ111" s="242"/>
      <c r="AR111" s="242"/>
      <c r="AS111" s="242"/>
      <c r="AT111" s="242"/>
    </row>
    <row r="112" spans="1:86">
      <c r="B112" s="242">
        <v>9.25</v>
      </c>
      <c r="C112" s="287">
        <v>53</v>
      </c>
      <c r="D112" s="242"/>
      <c r="E112" s="242"/>
      <c r="F112" s="242"/>
      <c r="G112" s="242"/>
      <c r="H112" s="242"/>
      <c r="J112" s="242"/>
      <c r="K112" s="242"/>
      <c r="L112" s="242"/>
      <c r="M112" s="242"/>
      <c r="N112" s="242"/>
      <c r="O112" s="242"/>
      <c r="U112" s="242"/>
      <c r="V112" s="242"/>
      <c r="W112" s="242"/>
      <c r="X112" s="242"/>
      <c r="Y112" s="242"/>
      <c r="Z112" s="242"/>
      <c r="AA112" s="282">
        <v>19004</v>
      </c>
      <c r="AB112" s="242">
        <v>18868</v>
      </c>
      <c r="AC112" s="283">
        <v>18770</v>
      </c>
      <c r="AD112" s="282">
        <v>17950</v>
      </c>
      <c r="AE112" s="242">
        <v>17926</v>
      </c>
      <c r="AF112" s="242"/>
      <c r="AG112" s="283">
        <v>17895</v>
      </c>
      <c r="AH112" s="282">
        <v>17618</v>
      </c>
      <c r="AI112" s="242"/>
      <c r="AJ112" s="242">
        <v>17598</v>
      </c>
      <c r="AK112" s="283">
        <v>17585</v>
      </c>
      <c r="AL112" s="282">
        <v>17416</v>
      </c>
      <c r="AM112" s="242">
        <v>17409</v>
      </c>
      <c r="AN112" s="242"/>
      <c r="AO112" s="242"/>
      <c r="AP112" s="242"/>
      <c r="AQ112" s="242"/>
      <c r="AR112" s="242"/>
      <c r="AS112" s="242"/>
      <c r="AT112" s="242"/>
    </row>
    <row r="113" spans="2:46">
      <c r="B113" s="242">
        <v>9.5</v>
      </c>
      <c r="C113" s="287">
        <v>54</v>
      </c>
      <c r="D113" s="242"/>
      <c r="E113" s="242"/>
      <c r="F113" s="242"/>
      <c r="G113" s="242"/>
      <c r="H113" s="242"/>
      <c r="J113" s="242"/>
      <c r="K113" s="242"/>
      <c r="L113" s="242"/>
      <c r="M113" s="242"/>
      <c r="N113" s="242"/>
      <c r="O113" s="242"/>
      <c r="U113" s="242"/>
      <c r="V113" s="242"/>
      <c r="W113" s="242"/>
      <c r="X113" s="242"/>
      <c r="Y113" s="242"/>
      <c r="Z113" s="242"/>
      <c r="AA113" s="282">
        <v>20245</v>
      </c>
      <c r="AB113" s="242">
        <v>20085</v>
      </c>
      <c r="AC113" s="283">
        <v>19969</v>
      </c>
      <c r="AD113" s="282">
        <v>19007</v>
      </c>
      <c r="AE113" s="242">
        <v>18979</v>
      </c>
      <c r="AF113" s="242"/>
      <c r="AG113" s="283">
        <v>18943</v>
      </c>
      <c r="AH113" s="282">
        <v>18620</v>
      </c>
      <c r="AI113" s="242"/>
      <c r="AJ113" s="242">
        <v>18597</v>
      </c>
      <c r="AK113" s="283">
        <v>18582</v>
      </c>
      <c r="AL113" s="282">
        <v>18387</v>
      </c>
      <c r="AM113" s="242">
        <v>18379</v>
      </c>
      <c r="AN113" s="242"/>
      <c r="AO113" s="242"/>
      <c r="AP113" s="242"/>
      <c r="AQ113" s="242"/>
      <c r="AR113" s="242"/>
      <c r="AS113" s="242"/>
      <c r="AT113" s="242"/>
    </row>
    <row r="114" spans="2:46">
      <c r="B114" s="242">
        <v>9.75</v>
      </c>
      <c r="C114" s="287">
        <v>55</v>
      </c>
      <c r="D114" s="242"/>
      <c r="E114" s="242"/>
      <c r="F114" s="242"/>
      <c r="G114" s="242"/>
      <c r="H114" s="242"/>
      <c r="J114" s="242"/>
      <c r="K114" s="242"/>
      <c r="L114" s="242"/>
      <c r="M114" s="242"/>
      <c r="N114" s="242"/>
      <c r="O114" s="242"/>
      <c r="U114" s="242"/>
      <c r="V114" s="242"/>
      <c r="W114" s="242"/>
      <c r="X114" s="242"/>
      <c r="Y114" s="242"/>
      <c r="Z114" s="242"/>
      <c r="AA114" s="282">
        <v>21552</v>
      </c>
      <c r="AB114" s="242">
        <v>21365</v>
      </c>
      <c r="AC114" s="283">
        <v>21230</v>
      </c>
      <c r="AD114" s="282">
        <v>20104</v>
      </c>
      <c r="AE114" s="242">
        <v>20071</v>
      </c>
      <c r="AF114" s="242"/>
      <c r="AG114" s="283">
        <v>20030</v>
      </c>
      <c r="AH114" s="282">
        <v>19655</v>
      </c>
      <c r="AI114" s="242"/>
      <c r="AJ114" s="242">
        <v>19628</v>
      </c>
      <c r="AK114" s="283">
        <v>19611</v>
      </c>
      <c r="AL114" s="282">
        <v>19386</v>
      </c>
      <c r="AM114" s="242">
        <v>19377</v>
      </c>
      <c r="AN114" s="242"/>
      <c r="AO114" s="242"/>
      <c r="AP114" s="242"/>
      <c r="AQ114" s="242"/>
      <c r="AR114" s="242"/>
      <c r="AS114" s="242"/>
      <c r="AT114" s="242"/>
    </row>
    <row r="115" spans="2:46">
      <c r="B115" s="242">
        <v>10</v>
      </c>
      <c r="C115" s="287">
        <v>56</v>
      </c>
      <c r="D115" s="242"/>
      <c r="E115" s="242"/>
      <c r="F115" s="242"/>
      <c r="G115" s="242"/>
      <c r="H115" s="242"/>
      <c r="J115" s="242"/>
      <c r="K115" s="242"/>
      <c r="L115" s="242"/>
      <c r="M115" s="242"/>
      <c r="N115" s="242"/>
      <c r="O115" s="242"/>
      <c r="U115" s="242"/>
      <c r="V115" s="242"/>
      <c r="W115" s="242"/>
      <c r="X115" s="242"/>
      <c r="Y115" s="242"/>
      <c r="Z115" s="242"/>
      <c r="AA115" s="282">
        <v>22930</v>
      </c>
      <c r="AB115" s="242">
        <v>22712</v>
      </c>
      <c r="AC115" s="283">
        <v>22555</v>
      </c>
      <c r="AD115" s="282">
        <v>21243</v>
      </c>
      <c r="AE115" s="242">
        <v>21205</v>
      </c>
      <c r="AF115" s="242"/>
      <c r="AG115" s="283">
        <v>21157</v>
      </c>
      <c r="AH115" s="282">
        <v>20723</v>
      </c>
      <c r="AI115" s="242"/>
      <c r="AJ115" s="242">
        <v>20692</v>
      </c>
      <c r="AK115" s="283">
        <v>20672</v>
      </c>
      <c r="AL115" s="282">
        <v>20414</v>
      </c>
      <c r="AM115" s="242">
        <v>20403</v>
      </c>
      <c r="AN115" s="242"/>
      <c r="AO115" s="242"/>
      <c r="AP115" s="242"/>
      <c r="AQ115" s="242"/>
      <c r="AR115" s="242"/>
      <c r="AS115" s="242"/>
      <c r="AT115" s="242"/>
    </row>
    <row r="116" spans="2:46">
      <c r="B116" s="242">
        <v>10.25</v>
      </c>
      <c r="C116" s="287">
        <v>57</v>
      </c>
      <c r="D116" s="242"/>
      <c r="E116" s="242"/>
      <c r="F116" s="242"/>
      <c r="G116" s="242"/>
      <c r="H116" s="242"/>
      <c r="J116" s="242"/>
      <c r="K116" s="242"/>
      <c r="L116" s="242"/>
      <c r="M116" s="242"/>
      <c r="N116" s="242"/>
      <c r="O116" s="242"/>
      <c r="U116" s="242"/>
      <c r="V116" s="242"/>
      <c r="W116" s="242"/>
      <c r="X116" s="242"/>
      <c r="Y116" s="242"/>
      <c r="Z116" s="242"/>
      <c r="AA116" s="282">
        <v>24385</v>
      </c>
      <c r="AB116" s="242">
        <v>24132</v>
      </c>
      <c r="AC116" s="283">
        <v>23948</v>
      </c>
      <c r="AD116" s="282">
        <v>22426</v>
      </c>
      <c r="AE116" s="242">
        <v>22382</v>
      </c>
      <c r="AF116" s="242"/>
      <c r="AG116" s="283">
        <v>22326</v>
      </c>
      <c r="AH116" s="282">
        <v>21825</v>
      </c>
      <c r="AI116" s="242"/>
      <c r="AJ116" s="242">
        <v>21789</v>
      </c>
      <c r="AK116" s="283">
        <v>21767</v>
      </c>
      <c r="AL116" s="282">
        <v>21471</v>
      </c>
      <c r="AM116" s="242">
        <v>21458</v>
      </c>
      <c r="AN116" s="242"/>
      <c r="AO116" s="242"/>
      <c r="AP116" s="242"/>
      <c r="AQ116" s="242"/>
      <c r="AR116" s="242"/>
      <c r="AS116" s="242"/>
      <c r="AT116" s="242"/>
    </row>
    <row r="117" spans="2:46">
      <c r="B117" s="242">
        <v>10.5</v>
      </c>
      <c r="C117" s="287">
        <v>58</v>
      </c>
      <c r="D117" s="242"/>
      <c r="E117" s="242"/>
      <c r="F117" s="242"/>
      <c r="G117" s="242"/>
      <c r="H117" s="242"/>
      <c r="J117" s="242"/>
      <c r="K117" s="242"/>
      <c r="L117" s="242"/>
      <c r="M117" s="242"/>
      <c r="N117" s="242"/>
      <c r="O117" s="242"/>
      <c r="U117" s="242"/>
      <c r="V117" s="242"/>
      <c r="W117" s="242"/>
      <c r="X117" s="242"/>
      <c r="Y117" s="242"/>
      <c r="Z117" s="242"/>
      <c r="AA117" s="282">
        <v>25924</v>
      </c>
      <c r="AB117" s="242">
        <v>25628</v>
      </c>
      <c r="AC117" s="283">
        <v>25416</v>
      </c>
      <c r="AD117" s="282">
        <v>23654</v>
      </c>
      <c r="AE117" s="242">
        <v>23603</v>
      </c>
      <c r="AF117" s="242"/>
      <c r="AG117" s="283">
        <v>23538</v>
      </c>
      <c r="AH117" s="282">
        <v>22962</v>
      </c>
      <c r="AI117" s="242"/>
      <c r="AJ117" s="242">
        <v>22921</v>
      </c>
      <c r="AK117" s="283">
        <v>22895</v>
      </c>
      <c r="AL117" s="282">
        <v>22556</v>
      </c>
      <c r="AM117" s="242">
        <v>22542</v>
      </c>
      <c r="AN117" s="242"/>
      <c r="AO117" s="242"/>
      <c r="AP117" s="242"/>
      <c r="AQ117" s="242"/>
      <c r="AR117" s="242"/>
      <c r="AS117" s="242"/>
      <c r="AT117" s="242"/>
    </row>
    <row r="118" spans="2:46">
      <c r="B118" s="242">
        <v>10.75</v>
      </c>
      <c r="C118" s="287">
        <v>59</v>
      </c>
      <c r="D118" s="242"/>
      <c r="E118" s="242"/>
      <c r="F118" s="242"/>
      <c r="G118" s="242"/>
      <c r="H118" s="242"/>
      <c r="J118" s="242"/>
      <c r="K118" s="242"/>
      <c r="L118" s="242"/>
      <c r="M118" s="242"/>
      <c r="N118" s="242"/>
      <c r="O118" s="242"/>
      <c r="U118" s="242"/>
      <c r="V118" s="242"/>
      <c r="W118" s="242"/>
      <c r="X118" s="242"/>
      <c r="Y118" s="242"/>
      <c r="Z118" s="242"/>
      <c r="AA118" s="282">
        <v>27567</v>
      </c>
      <c r="AB118" s="242">
        <v>27210</v>
      </c>
      <c r="AC118" s="283">
        <v>26962</v>
      </c>
      <c r="AD118" s="282">
        <v>24931</v>
      </c>
      <c r="AE118" s="242">
        <v>24872</v>
      </c>
      <c r="AF118" s="242"/>
      <c r="AG118" s="283">
        <v>24797</v>
      </c>
      <c r="AH118" s="282">
        <v>24134</v>
      </c>
      <c r="AI118" s="242"/>
      <c r="AJ118" s="242">
        <v>24087</v>
      </c>
      <c r="AK118" s="283">
        <v>24058</v>
      </c>
      <c r="AL118" s="282">
        <v>23672</v>
      </c>
      <c r="AM118" s="242">
        <v>23656</v>
      </c>
      <c r="AN118" s="242"/>
      <c r="AO118" s="242"/>
      <c r="AP118" s="242"/>
      <c r="AQ118" s="242"/>
      <c r="AR118" s="242"/>
      <c r="AS118" s="242"/>
      <c r="AT118" s="242"/>
    </row>
    <row r="119" spans="2:46">
      <c r="B119" s="242">
        <v>11</v>
      </c>
      <c r="C119" s="287">
        <v>60</v>
      </c>
      <c r="D119" s="242"/>
      <c r="E119" s="242"/>
      <c r="F119" s="242"/>
      <c r="G119" s="242"/>
      <c r="H119" s="242"/>
      <c r="J119" s="242"/>
      <c r="K119" s="242"/>
      <c r="L119" s="242"/>
      <c r="M119" s="242"/>
      <c r="N119" s="242"/>
      <c r="O119" s="242"/>
      <c r="U119" s="242"/>
      <c r="V119" s="242"/>
      <c r="W119" s="242"/>
      <c r="X119" s="242"/>
      <c r="Y119" s="242"/>
      <c r="Z119" s="242"/>
      <c r="AA119" s="282">
        <v>29331</v>
      </c>
      <c r="AB119" s="242">
        <v>28899</v>
      </c>
      <c r="AC119" s="283">
        <v>28600</v>
      </c>
      <c r="AD119" s="282">
        <v>26257</v>
      </c>
      <c r="AE119" s="242">
        <v>26190</v>
      </c>
      <c r="AF119" s="242"/>
      <c r="AG119" s="283">
        <v>26104</v>
      </c>
      <c r="AH119" s="282">
        <v>25344</v>
      </c>
      <c r="AI119" s="242"/>
      <c r="AJ119" s="242">
        <v>25290</v>
      </c>
      <c r="AK119" s="283">
        <v>25257</v>
      </c>
      <c r="AL119" s="282">
        <v>24817</v>
      </c>
      <c r="AM119" s="242">
        <v>24799</v>
      </c>
      <c r="AN119" s="242"/>
      <c r="AO119" s="242"/>
      <c r="AP119" s="242"/>
      <c r="AQ119" s="242"/>
      <c r="AR119" s="242"/>
      <c r="AS119" s="242"/>
      <c r="AT119" s="242"/>
    </row>
    <row r="120" spans="2:46">
      <c r="B120" s="242">
        <v>11.25</v>
      </c>
      <c r="C120" s="287">
        <v>61</v>
      </c>
      <c r="D120" s="242"/>
      <c r="E120" s="242"/>
      <c r="F120" s="242"/>
      <c r="G120" s="242"/>
      <c r="H120" s="242"/>
      <c r="J120" s="242"/>
      <c r="K120" s="242"/>
      <c r="L120" s="242"/>
      <c r="M120" s="242"/>
      <c r="N120" s="242"/>
      <c r="O120" s="242"/>
      <c r="U120" s="242"/>
      <c r="V120" s="242"/>
      <c r="W120" s="242"/>
      <c r="X120" s="242"/>
      <c r="Y120" s="242"/>
      <c r="Z120" s="242"/>
      <c r="AA120" s="288"/>
      <c r="AB120" s="290">
        <v>30710</v>
      </c>
      <c r="AC120" s="289">
        <v>30348</v>
      </c>
      <c r="AD120" s="282">
        <v>27636</v>
      </c>
      <c r="AE120" s="242">
        <v>27559</v>
      </c>
      <c r="AF120" s="242"/>
      <c r="AG120" s="283">
        <v>27460</v>
      </c>
      <c r="AH120" s="282">
        <v>26592</v>
      </c>
      <c r="AI120" s="242"/>
      <c r="AJ120" s="242">
        <v>26531</v>
      </c>
      <c r="AK120" s="283">
        <v>26492</v>
      </c>
      <c r="AL120" s="282">
        <v>25992</v>
      </c>
      <c r="AM120" s="242">
        <v>25972</v>
      </c>
      <c r="AN120" s="242"/>
      <c r="AO120" s="242"/>
      <c r="AP120" s="242"/>
      <c r="AQ120" s="242"/>
      <c r="AR120" s="242"/>
      <c r="AS120" s="242"/>
      <c r="AT120" s="242"/>
    </row>
    <row r="121" spans="2:46">
      <c r="B121" s="242">
        <v>11.5</v>
      </c>
      <c r="C121" s="287">
        <v>62</v>
      </c>
      <c r="D121" s="242"/>
      <c r="E121" s="242"/>
      <c r="F121" s="242"/>
      <c r="G121" s="242"/>
      <c r="H121" s="242"/>
      <c r="J121" s="242"/>
      <c r="K121" s="242"/>
      <c r="L121" s="242"/>
      <c r="M121" s="242"/>
      <c r="N121" s="242"/>
      <c r="O121" s="242"/>
      <c r="U121" s="242"/>
      <c r="V121" s="242"/>
      <c r="W121" s="242"/>
      <c r="X121" s="242"/>
      <c r="Y121" s="242"/>
      <c r="Z121" s="242"/>
      <c r="AA121" s="242"/>
      <c r="AB121" s="242"/>
      <c r="AC121" s="242"/>
      <c r="AD121" s="282">
        <v>29070</v>
      </c>
      <c r="AE121" s="242">
        <v>28982</v>
      </c>
      <c r="AF121" s="242"/>
      <c r="AG121" s="283">
        <v>28870</v>
      </c>
      <c r="AH121" s="282">
        <v>27878</v>
      </c>
      <c r="AI121" s="242"/>
      <c r="AJ121" s="242">
        <v>27809</v>
      </c>
      <c r="AK121" s="283">
        <v>27766</v>
      </c>
      <c r="AL121" s="282">
        <v>27199</v>
      </c>
      <c r="AM121" s="242">
        <v>27176</v>
      </c>
      <c r="AN121" s="242"/>
      <c r="AO121" s="242"/>
      <c r="AP121" s="242"/>
      <c r="AQ121" s="242"/>
      <c r="AR121" s="242"/>
      <c r="AS121" s="242"/>
      <c r="AT121" s="242"/>
    </row>
    <row r="122" spans="2:46">
      <c r="B122" s="242">
        <v>11.75</v>
      </c>
      <c r="C122" s="287">
        <v>63</v>
      </c>
      <c r="D122" s="242"/>
      <c r="E122" s="242"/>
      <c r="F122" s="242"/>
      <c r="G122" s="242"/>
      <c r="H122" s="242"/>
      <c r="J122" s="242"/>
      <c r="K122" s="242"/>
      <c r="L122" s="242"/>
      <c r="M122" s="242"/>
      <c r="N122" s="242"/>
      <c r="O122" s="242"/>
      <c r="U122" s="242"/>
      <c r="V122" s="242"/>
      <c r="W122" s="242"/>
      <c r="X122" s="242"/>
      <c r="Y122" s="242"/>
      <c r="Z122" s="242"/>
      <c r="AA122" s="242"/>
      <c r="AB122" s="242"/>
      <c r="AC122" s="242"/>
      <c r="AD122" s="282">
        <v>30562</v>
      </c>
      <c r="AE122" s="242">
        <v>30462</v>
      </c>
      <c r="AF122" s="242"/>
      <c r="AG122" s="283">
        <v>30334</v>
      </c>
      <c r="AH122" s="282">
        <v>29205</v>
      </c>
      <c r="AI122" s="242"/>
      <c r="AJ122" s="242">
        <v>29126</v>
      </c>
      <c r="AK122" s="283">
        <v>29077</v>
      </c>
      <c r="AL122" s="282">
        <v>28437</v>
      </c>
      <c r="AM122" s="242">
        <v>28411</v>
      </c>
      <c r="AN122" s="242"/>
      <c r="AO122" s="242"/>
      <c r="AP122" s="242"/>
      <c r="AQ122" s="242"/>
      <c r="AR122" s="242"/>
      <c r="AS122" s="242"/>
      <c r="AT122" s="242"/>
    </row>
    <row r="123" spans="2:46">
      <c r="B123" s="242">
        <v>12</v>
      </c>
      <c r="C123" s="287">
        <v>64</v>
      </c>
      <c r="D123" s="242"/>
      <c r="E123" s="242"/>
      <c r="F123" s="242"/>
      <c r="G123" s="242"/>
      <c r="H123" s="242"/>
      <c r="J123" s="242"/>
      <c r="K123" s="242"/>
      <c r="L123" s="242"/>
      <c r="M123" s="242"/>
      <c r="N123" s="242"/>
      <c r="O123" s="242"/>
      <c r="U123" s="242"/>
      <c r="V123" s="242"/>
      <c r="W123" s="242"/>
      <c r="X123" s="242"/>
      <c r="Y123" s="242"/>
      <c r="Z123" s="242"/>
      <c r="AA123" s="242"/>
      <c r="AB123" s="242"/>
      <c r="AC123" s="242"/>
      <c r="AD123" s="282">
        <v>32116</v>
      </c>
      <c r="AE123" s="242">
        <v>32001</v>
      </c>
      <c r="AF123" s="242"/>
      <c r="AG123" s="283">
        <v>31856</v>
      </c>
      <c r="AH123" s="282">
        <v>30574</v>
      </c>
      <c r="AI123" s="242"/>
      <c r="AJ123" s="242">
        <v>30485</v>
      </c>
      <c r="AK123" s="283">
        <v>30429</v>
      </c>
      <c r="AL123" s="282">
        <v>29706</v>
      </c>
      <c r="AM123" s="242">
        <v>29677</v>
      </c>
      <c r="AN123" s="242"/>
      <c r="AO123" s="242"/>
      <c r="AP123" s="242"/>
      <c r="AQ123" s="242"/>
      <c r="AR123" s="242"/>
      <c r="AS123" s="242"/>
      <c r="AT123" s="242"/>
    </row>
    <row r="124" spans="2:46">
      <c r="B124" s="242">
        <v>12.5</v>
      </c>
      <c r="C124" s="287">
        <v>65</v>
      </c>
      <c r="D124" s="242"/>
      <c r="E124" s="242"/>
      <c r="F124" s="242"/>
      <c r="G124" s="242"/>
      <c r="H124" s="242"/>
      <c r="J124" s="242"/>
      <c r="K124" s="242"/>
      <c r="L124" s="242"/>
      <c r="M124" s="242"/>
      <c r="N124" s="242"/>
      <c r="O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82">
        <v>35417</v>
      </c>
      <c r="AE124" s="242">
        <v>35270</v>
      </c>
      <c r="AF124" s="242"/>
      <c r="AG124" s="283">
        <v>35084</v>
      </c>
      <c r="AH124" s="282">
        <v>33444</v>
      </c>
      <c r="AI124" s="242"/>
      <c r="AJ124" s="242">
        <v>33330</v>
      </c>
      <c r="AK124" s="283">
        <v>33259</v>
      </c>
      <c r="AL124" s="282">
        <v>32343</v>
      </c>
      <c r="AM124" s="242">
        <v>32306</v>
      </c>
      <c r="AN124" s="242"/>
      <c r="AO124" s="242"/>
      <c r="AP124" s="242"/>
      <c r="AQ124" s="242"/>
      <c r="AR124" s="242"/>
      <c r="AS124" s="242"/>
      <c r="AT124" s="242"/>
    </row>
    <row r="125" spans="2:46">
      <c r="B125" s="242">
        <v>13</v>
      </c>
      <c r="C125" s="287">
        <v>66</v>
      </c>
      <c r="D125" s="242"/>
      <c r="E125" s="242"/>
      <c r="F125" s="242"/>
      <c r="G125" s="242"/>
      <c r="H125" s="242"/>
      <c r="J125" s="242"/>
      <c r="K125" s="242"/>
      <c r="L125" s="242"/>
      <c r="M125" s="242"/>
      <c r="N125" s="242"/>
      <c r="O125" s="242"/>
      <c r="U125" s="242"/>
      <c r="V125" s="242"/>
      <c r="W125" s="242"/>
      <c r="X125" s="242"/>
      <c r="Y125" s="242"/>
      <c r="Z125" s="242"/>
      <c r="AA125" s="242"/>
      <c r="AB125" s="242"/>
      <c r="AC125" s="242"/>
      <c r="AD125" s="282">
        <v>39003</v>
      </c>
      <c r="AE125" s="242">
        <v>38817</v>
      </c>
      <c r="AF125" s="242"/>
      <c r="AG125" s="283">
        <v>38581</v>
      </c>
      <c r="AH125" s="282">
        <v>36502</v>
      </c>
      <c r="AI125" s="242"/>
      <c r="AJ125" s="242">
        <v>36357</v>
      </c>
      <c r="AK125" s="283">
        <v>36267</v>
      </c>
      <c r="AL125" s="282">
        <v>35114</v>
      </c>
      <c r="AM125" s="242">
        <v>35068</v>
      </c>
      <c r="AN125" s="242"/>
      <c r="AO125" s="242"/>
      <c r="AP125" s="242"/>
      <c r="AQ125" s="242"/>
      <c r="AR125" s="242"/>
      <c r="AS125" s="242"/>
      <c r="AT125" s="242"/>
    </row>
    <row r="126" spans="2:46">
      <c r="B126" s="242">
        <v>13.5</v>
      </c>
      <c r="C126" s="287">
        <v>67</v>
      </c>
      <c r="D126" s="242"/>
      <c r="E126" s="242"/>
      <c r="F126" s="242"/>
      <c r="G126" s="242"/>
      <c r="H126" s="242"/>
      <c r="J126" s="242"/>
      <c r="K126" s="242"/>
      <c r="L126" s="242"/>
      <c r="M126" s="242"/>
      <c r="N126" s="242"/>
      <c r="O126" s="242"/>
      <c r="U126" s="242"/>
      <c r="V126" s="242"/>
      <c r="W126" s="242"/>
      <c r="X126" s="242"/>
      <c r="Y126" s="242"/>
      <c r="Z126" s="242"/>
      <c r="AA126" s="242"/>
      <c r="AB126" s="242"/>
      <c r="AC126" s="242"/>
      <c r="AD126" s="282">
        <v>42913</v>
      </c>
      <c r="AE126" s="242">
        <v>42673</v>
      </c>
      <c r="AF126" s="242"/>
      <c r="AG126" s="283">
        <v>42375</v>
      </c>
      <c r="AH126" s="282">
        <v>39762</v>
      </c>
      <c r="AI126" s="242"/>
      <c r="AJ126" s="242">
        <v>39581</v>
      </c>
      <c r="AK126" s="283">
        <v>39467</v>
      </c>
      <c r="AL126" s="282">
        <v>38025</v>
      </c>
      <c r="AM126" s="242">
        <v>37968</v>
      </c>
      <c r="AN126" s="242"/>
      <c r="AO126" s="242"/>
      <c r="AP126" s="242"/>
      <c r="AQ126" s="242"/>
      <c r="AR126" s="242"/>
      <c r="AS126" s="242"/>
      <c r="AT126" s="242"/>
    </row>
    <row r="127" spans="2:46">
      <c r="B127" s="242">
        <v>14</v>
      </c>
      <c r="C127" s="287">
        <v>68</v>
      </c>
      <c r="D127" s="242"/>
      <c r="E127" s="242"/>
      <c r="F127" s="242"/>
      <c r="G127" s="242"/>
      <c r="H127" s="242"/>
      <c r="J127" s="242"/>
      <c r="K127" s="242"/>
      <c r="L127" s="242"/>
      <c r="M127" s="242"/>
      <c r="N127" s="242"/>
      <c r="O127" s="242"/>
      <c r="U127" s="242"/>
      <c r="V127" s="242"/>
      <c r="W127" s="242"/>
      <c r="X127" s="242"/>
      <c r="Y127" s="242"/>
      <c r="Z127" s="242"/>
      <c r="AA127" s="242"/>
      <c r="AB127" s="242"/>
      <c r="AC127" s="242"/>
      <c r="AD127" s="288">
        <v>47244</v>
      </c>
      <c r="AE127" s="290">
        <v>46921</v>
      </c>
      <c r="AF127" s="290"/>
      <c r="AG127" s="289">
        <v>46523</v>
      </c>
      <c r="AH127" s="282">
        <v>43241</v>
      </c>
      <c r="AI127" s="242"/>
      <c r="AJ127" s="242">
        <v>43015</v>
      </c>
      <c r="AK127" s="283">
        <v>42874</v>
      </c>
      <c r="AL127" s="282">
        <v>41082</v>
      </c>
      <c r="AM127" s="242">
        <v>41012</v>
      </c>
      <c r="AN127" s="242"/>
      <c r="AO127" s="242"/>
      <c r="AP127" s="242"/>
      <c r="AQ127" s="242"/>
      <c r="AR127" s="242"/>
      <c r="AS127" s="242"/>
      <c r="AT127" s="242"/>
    </row>
    <row r="128" spans="2:46">
      <c r="B128" s="242">
        <v>14.5</v>
      </c>
      <c r="C128" s="287">
        <v>69</v>
      </c>
      <c r="D128" s="242"/>
      <c r="E128" s="242"/>
      <c r="F128" s="242"/>
      <c r="G128" s="242"/>
      <c r="H128" s="242"/>
      <c r="J128" s="242"/>
      <c r="K128" s="242"/>
      <c r="L128" s="242"/>
      <c r="M128" s="242"/>
      <c r="N128" s="242"/>
      <c r="O128" s="242"/>
      <c r="U128" s="242"/>
      <c r="V128" s="242"/>
      <c r="W128" s="242"/>
      <c r="X128" s="242"/>
      <c r="Y128" s="242"/>
      <c r="Z128" s="242"/>
      <c r="AA128" s="242"/>
      <c r="AB128" s="242"/>
      <c r="AC128" s="242"/>
      <c r="AD128" s="242"/>
      <c r="AE128" s="242"/>
      <c r="AF128" s="242"/>
      <c r="AG128" s="242"/>
      <c r="AH128" s="282">
        <v>46958</v>
      </c>
      <c r="AI128" s="242"/>
      <c r="AJ128" s="242">
        <v>46679</v>
      </c>
      <c r="AK128" s="283">
        <v>46505</v>
      </c>
      <c r="AL128" s="282">
        <v>44291</v>
      </c>
      <c r="AM128" s="242">
        <v>44206</v>
      </c>
      <c r="AN128" s="242"/>
      <c r="AO128" s="242"/>
      <c r="AP128" s="242"/>
      <c r="AQ128" s="242"/>
      <c r="AR128" s="242"/>
      <c r="AS128" s="242"/>
      <c r="AT128" s="242"/>
    </row>
    <row r="129" spans="2:46">
      <c r="B129" s="242">
        <v>15</v>
      </c>
      <c r="C129" s="287">
        <v>70</v>
      </c>
      <c r="D129" s="242"/>
      <c r="E129" s="242"/>
      <c r="F129" s="242"/>
      <c r="G129" s="242"/>
      <c r="H129" s="242"/>
      <c r="J129" s="242"/>
      <c r="K129" s="242"/>
      <c r="L129" s="242"/>
      <c r="M129" s="242"/>
      <c r="N129" s="242"/>
      <c r="O129" s="242"/>
      <c r="U129" s="242"/>
      <c r="V129" s="242"/>
      <c r="W129" s="242"/>
      <c r="X129" s="242"/>
      <c r="Y129" s="242"/>
      <c r="Z129" s="242"/>
      <c r="AA129" s="242"/>
      <c r="AB129" s="242"/>
      <c r="AC129" s="242"/>
      <c r="AD129" s="242"/>
      <c r="AE129" s="242"/>
      <c r="AF129" s="242"/>
      <c r="AG129" s="242"/>
      <c r="AH129" s="282">
        <v>50934</v>
      </c>
      <c r="AI129" s="242"/>
      <c r="AJ129" s="242">
        <v>50591</v>
      </c>
      <c r="AK129" s="283">
        <v>50378</v>
      </c>
      <c r="AL129" s="282">
        <v>47662</v>
      </c>
      <c r="AM129" s="242">
        <v>47557</v>
      </c>
      <c r="AN129" s="242"/>
      <c r="AO129" s="242"/>
      <c r="AP129" s="242"/>
      <c r="AQ129" s="242"/>
      <c r="AR129" s="242"/>
      <c r="AS129" s="242"/>
      <c r="AT129" s="242"/>
    </row>
    <row r="130" spans="2:46">
      <c r="B130" s="242">
        <v>15.5</v>
      </c>
      <c r="C130" s="287">
        <v>71</v>
      </c>
      <c r="D130" s="242"/>
      <c r="E130" s="242"/>
      <c r="F130" s="242"/>
      <c r="G130" s="242"/>
      <c r="H130" s="242"/>
      <c r="J130" s="242"/>
      <c r="K130" s="242"/>
      <c r="L130" s="242"/>
      <c r="M130" s="242"/>
      <c r="N130" s="242"/>
      <c r="O130" s="242"/>
      <c r="U130" s="242"/>
      <c r="V130" s="242"/>
      <c r="W130" s="242"/>
      <c r="X130" s="242"/>
      <c r="Y130" s="242"/>
      <c r="Z130" s="242"/>
      <c r="AA130" s="242"/>
      <c r="AB130" s="242"/>
      <c r="AC130" s="242"/>
      <c r="AD130" s="242"/>
      <c r="AE130" s="242"/>
      <c r="AF130" s="242"/>
      <c r="AG130" s="242"/>
      <c r="AH130" s="282">
        <v>55192</v>
      </c>
      <c r="AI130" s="242"/>
      <c r="AJ130" s="242">
        <v>54774</v>
      </c>
      <c r="AK130" s="283">
        <v>54513</v>
      </c>
      <c r="AL130" s="282">
        <v>51202</v>
      </c>
      <c r="AM130" s="242">
        <v>51075</v>
      </c>
      <c r="AN130" s="242"/>
      <c r="AO130" s="242"/>
      <c r="AP130" s="242"/>
      <c r="AQ130" s="242"/>
      <c r="AR130" s="242"/>
      <c r="AS130" s="242"/>
      <c r="AT130" s="242"/>
    </row>
    <row r="131" spans="2:46">
      <c r="B131" s="242">
        <v>16</v>
      </c>
      <c r="C131" s="287">
        <v>72</v>
      </c>
      <c r="D131" s="242"/>
      <c r="E131" s="242"/>
      <c r="F131" s="242"/>
      <c r="G131" s="242"/>
      <c r="H131" s="242"/>
      <c r="J131" s="242"/>
      <c r="K131" s="242"/>
      <c r="L131" s="242"/>
      <c r="M131" s="242"/>
      <c r="N131" s="242"/>
      <c r="O131" s="242"/>
      <c r="U131" s="242"/>
      <c r="V131" s="242"/>
      <c r="W131" s="242"/>
      <c r="X131" s="242"/>
      <c r="Y131" s="242"/>
      <c r="Z131" s="242"/>
      <c r="AA131" s="242"/>
      <c r="AB131" s="242"/>
      <c r="AC131" s="242"/>
      <c r="AD131" s="242"/>
      <c r="AE131" s="242"/>
      <c r="AF131" s="242"/>
      <c r="AG131" s="242"/>
      <c r="AH131" s="282">
        <v>59759</v>
      </c>
      <c r="AI131" s="242"/>
      <c r="AJ131" s="242">
        <v>59251</v>
      </c>
      <c r="AK131" s="283">
        <v>58935</v>
      </c>
      <c r="AL131" s="282">
        <v>54923</v>
      </c>
      <c r="AM131" s="242">
        <v>54769</v>
      </c>
      <c r="AN131" s="242"/>
      <c r="AO131" s="242"/>
      <c r="AP131" s="242"/>
      <c r="AQ131" s="242"/>
      <c r="AR131" s="242"/>
      <c r="AS131" s="242"/>
      <c r="AT131" s="242"/>
    </row>
    <row r="132" spans="2:46">
      <c r="B132" s="242">
        <v>16.5</v>
      </c>
      <c r="C132" s="287">
        <v>73</v>
      </c>
      <c r="D132" s="242"/>
      <c r="E132" s="242"/>
      <c r="F132" s="242"/>
      <c r="G132" s="242"/>
      <c r="H132" s="242"/>
      <c r="J132" s="242"/>
      <c r="K132" s="242"/>
      <c r="L132" s="242"/>
      <c r="M132" s="242"/>
      <c r="N132" s="242"/>
      <c r="O132" s="242"/>
      <c r="U132" s="242"/>
      <c r="V132" s="242"/>
      <c r="W132" s="242"/>
      <c r="X132" s="242"/>
      <c r="Y132" s="242"/>
      <c r="Z132" s="242"/>
      <c r="AA132" s="242"/>
      <c r="AB132" s="242"/>
      <c r="AC132" s="242"/>
      <c r="AD132" s="242"/>
      <c r="AE132" s="242"/>
      <c r="AF132" s="242"/>
      <c r="AG132" s="242"/>
      <c r="AH132" s="282">
        <v>64701</v>
      </c>
      <c r="AI132" s="242"/>
      <c r="AJ132" s="242">
        <v>64060</v>
      </c>
      <c r="AK132" s="283">
        <v>63670</v>
      </c>
      <c r="AL132" s="282">
        <v>58835</v>
      </c>
      <c r="AM132" s="242">
        <v>58649</v>
      </c>
      <c r="AN132" s="242"/>
      <c r="AO132" s="242"/>
      <c r="AP132" s="242"/>
      <c r="AQ132" s="242"/>
      <c r="AR132" s="242"/>
      <c r="AS132" s="242"/>
      <c r="AT132" s="242"/>
    </row>
    <row r="133" spans="2:46">
      <c r="B133" s="242">
        <v>17</v>
      </c>
      <c r="C133" s="287">
        <v>74</v>
      </c>
      <c r="D133" s="242"/>
      <c r="E133" s="242"/>
      <c r="F133" s="242"/>
      <c r="G133" s="242"/>
      <c r="H133" s="242"/>
      <c r="J133" s="242"/>
      <c r="K133" s="242"/>
      <c r="L133" s="242"/>
      <c r="M133" s="242"/>
      <c r="N133" s="242"/>
      <c r="O133" s="242"/>
      <c r="U133" s="242"/>
      <c r="V133" s="242"/>
      <c r="W133" s="242"/>
      <c r="X133" s="242"/>
      <c r="Y133" s="242"/>
      <c r="Z133" s="242"/>
      <c r="AA133" s="242"/>
      <c r="AB133" s="242"/>
      <c r="AC133" s="242"/>
      <c r="AD133" s="242"/>
      <c r="AE133" s="242"/>
      <c r="AF133" s="242"/>
      <c r="AG133" s="242"/>
      <c r="AH133" s="288"/>
      <c r="AI133" s="290"/>
      <c r="AJ133" s="290">
        <v>69288</v>
      </c>
      <c r="AK133" s="289">
        <v>68792</v>
      </c>
      <c r="AL133" s="282">
        <v>62950</v>
      </c>
      <c r="AM133" s="242">
        <v>62728</v>
      </c>
      <c r="AN133" s="242"/>
      <c r="AO133" s="242"/>
      <c r="AP133" s="242"/>
      <c r="AQ133" s="242"/>
      <c r="AR133" s="242"/>
      <c r="AS133" s="242"/>
      <c r="AT133" s="242"/>
    </row>
    <row r="134" spans="2:46">
      <c r="B134" s="242">
        <v>17.5</v>
      </c>
      <c r="C134" s="287">
        <v>75</v>
      </c>
      <c r="D134" s="242"/>
      <c r="E134" s="242"/>
      <c r="F134" s="242"/>
      <c r="G134" s="242"/>
      <c r="H134" s="242"/>
      <c r="J134" s="242"/>
      <c r="K134" s="242"/>
      <c r="L134" s="242"/>
      <c r="M134" s="242"/>
      <c r="N134" s="242"/>
      <c r="O134" s="242"/>
      <c r="U134" s="242"/>
      <c r="V134" s="242"/>
      <c r="W134" s="242"/>
      <c r="X134" s="242"/>
      <c r="Y134" s="242"/>
      <c r="Z134" s="242"/>
      <c r="AA134" s="242"/>
      <c r="AB134" s="242"/>
      <c r="AC134" s="242"/>
      <c r="AD134" s="242"/>
      <c r="AE134" s="242"/>
      <c r="AF134" s="242"/>
      <c r="AG134" s="242"/>
      <c r="AH134" s="242"/>
      <c r="AI134" s="242"/>
      <c r="AJ134" s="242"/>
      <c r="AK134" s="242"/>
      <c r="AL134" s="282">
        <v>67282</v>
      </c>
      <c r="AM134" s="242">
        <v>67017</v>
      </c>
      <c r="AN134" s="242"/>
      <c r="AO134" s="242"/>
      <c r="AP134" s="242"/>
      <c r="AQ134" s="242"/>
      <c r="AR134" s="242"/>
      <c r="AS134" s="242"/>
      <c r="AT134" s="242"/>
    </row>
    <row r="135" spans="2:46">
      <c r="B135" s="242">
        <v>18</v>
      </c>
      <c r="C135" s="287">
        <v>76</v>
      </c>
      <c r="D135" s="242"/>
      <c r="E135" s="242"/>
      <c r="F135" s="242"/>
      <c r="G135" s="242"/>
      <c r="H135" s="242"/>
      <c r="J135" s="242"/>
      <c r="K135" s="242"/>
      <c r="L135" s="242"/>
      <c r="M135" s="242"/>
      <c r="N135" s="242"/>
      <c r="O135" s="242"/>
      <c r="U135" s="242"/>
      <c r="V135" s="242"/>
      <c r="W135" s="242"/>
      <c r="X135" s="242"/>
      <c r="Y135" s="242"/>
      <c r="Z135" s="242"/>
      <c r="AA135" s="242"/>
      <c r="AB135" s="242"/>
      <c r="AC135" s="242"/>
      <c r="AD135" s="242"/>
      <c r="AE135" s="242"/>
      <c r="AF135" s="242"/>
      <c r="AG135" s="242"/>
      <c r="AH135" s="242"/>
      <c r="AI135" s="242"/>
      <c r="AJ135" s="242"/>
      <c r="AK135" s="242"/>
      <c r="AL135" s="282">
        <v>71844</v>
      </c>
      <c r="AM135" s="242">
        <v>71530</v>
      </c>
      <c r="AN135" s="242"/>
      <c r="AO135" s="242"/>
      <c r="AP135" s="242"/>
      <c r="AQ135" s="242"/>
      <c r="AR135" s="242"/>
      <c r="AS135" s="242"/>
      <c r="AT135" s="242"/>
    </row>
    <row r="136" spans="2:46">
      <c r="B136" s="242">
        <v>18.5</v>
      </c>
      <c r="C136" s="287">
        <v>77</v>
      </c>
      <c r="D136" s="242"/>
      <c r="E136" s="242"/>
      <c r="F136" s="242"/>
      <c r="G136" s="242"/>
      <c r="H136" s="242"/>
      <c r="J136" s="242"/>
      <c r="K136" s="242"/>
      <c r="L136" s="242"/>
      <c r="M136" s="242"/>
      <c r="N136" s="242"/>
      <c r="O136" s="242"/>
      <c r="U136" s="242"/>
      <c r="V136" s="242"/>
      <c r="W136" s="242"/>
      <c r="X136" s="242"/>
      <c r="Y136" s="242"/>
      <c r="Z136" s="242"/>
      <c r="AA136" s="242"/>
      <c r="AB136" s="242"/>
      <c r="AC136" s="242"/>
      <c r="AD136" s="242"/>
      <c r="AE136" s="242"/>
      <c r="AF136" s="242"/>
      <c r="AG136" s="242"/>
      <c r="AH136" s="242"/>
      <c r="AI136" s="242"/>
      <c r="AJ136" s="242"/>
      <c r="AK136" s="242"/>
      <c r="AL136" s="282">
        <v>76653</v>
      </c>
      <c r="AM136" s="242">
        <v>76282</v>
      </c>
      <c r="AN136" s="242"/>
      <c r="AO136" s="242"/>
      <c r="AP136" s="242"/>
      <c r="AQ136" s="242"/>
      <c r="AR136" s="242"/>
      <c r="AS136" s="242"/>
      <c r="AT136" s="242"/>
    </row>
    <row r="137" spans="2:46">
      <c r="B137" s="242">
        <v>19</v>
      </c>
      <c r="C137" s="287">
        <v>78</v>
      </c>
      <c r="D137" s="242"/>
      <c r="E137" s="242"/>
      <c r="F137" s="242"/>
      <c r="G137" s="242"/>
      <c r="H137" s="242"/>
      <c r="J137" s="242"/>
      <c r="K137" s="242"/>
      <c r="L137" s="242"/>
      <c r="M137" s="242"/>
      <c r="N137" s="242"/>
      <c r="O137" s="242"/>
      <c r="U137" s="242"/>
      <c r="V137" s="242"/>
      <c r="W137" s="242"/>
      <c r="X137" s="242"/>
      <c r="Y137" s="242"/>
      <c r="Z137" s="242"/>
      <c r="AA137" s="242"/>
      <c r="AB137" s="242"/>
      <c r="AC137" s="242"/>
      <c r="AD137" s="242"/>
      <c r="AE137" s="242"/>
      <c r="AF137" s="242"/>
      <c r="AG137" s="242"/>
      <c r="AH137" s="242"/>
      <c r="AI137" s="242"/>
      <c r="AJ137" s="242"/>
      <c r="AK137" s="242"/>
      <c r="AL137" s="282">
        <v>81725</v>
      </c>
      <c r="AM137" s="242">
        <v>81289</v>
      </c>
      <c r="AN137" s="242"/>
      <c r="AO137" s="242"/>
      <c r="AP137" s="242"/>
      <c r="AQ137" s="242"/>
      <c r="AR137" s="242"/>
      <c r="AS137" s="242"/>
      <c r="AT137" s="242"/>
    </row>
    <row r="138" spans="2:46">
      <c r="B138" s="242">
        <v>19.5</v>
      </c>
      <c r="C138" s="287">
        <v>79</v>
      </c>
      <c r="D138" s="242"/>
      <c r="E138" s="242"/>
      <c r="F138" s="242"/>
      <c r="G138" s="242"/>
      <c r="H138" s="242"/>
      <c r="J138" s="242"/>
      <c r="K138" s="242"/>
      <c r="L138" s="242"/>
      <c r="M138" s="242"/>
      <c r="N138" s="242"/>
      <c r="O138" s="242"/>
      <c r="U138" s="242"/>
      <c r="V138" s="242"/>
      <c r="W138" s="242"/>
      <c r="X138" s="242"/>
      <c r="Y138" s="242"/>
      <c r="Z138" s="242"/>
      <c r="AA138" s="242"/>
      <c r="AB138" s="242"/>
      <c r="AC138" s="242"/>
      <c r="AD138" s="242"/>
      <c r="AE138" s="242"/>
      <c r="AF138" s="242"/>
      <c r="AG138" s="242"/>
      <c r="AH138" s="242"/>
      <c r="AI138" s="242"/>
      <c r="AJ138" s="242"/>
      <c r="AK138" s="242"/>
      <c r="AL138" s="282">
        <v>87079</v>
      </c>
      <c r="AM138" s="242">
        <v>86568</v>
      </c>
      <c r="AN138" s="242"/>
      <c r="AO138" s="242"/>
      <c r="AP138" s="242"/>
      <c r="AQ138" s="242"/>
      <c r="AR138" s="242"/>
      <c r="AS138" s="242"/>
      <c r="AT138" s="242"/>
    </row>
    <row r="139" spans="2:46">
      <c r="B139" s="242">
        <v>20</v>
      </c>
      <c r="C139" s="287">
        <v>80</v>
      </c>
      <c r="D139" s="242"/>
      <c r="E139" s="242"/>
      <c r="F139" s="242"/>
      <c r="G139" s="242"/>
      <c r="H139" s="242"/>
      <c r="J139" s="242"/>
      <c r="K139" s="242"/>
      <c r="L139" s="242"/>
      <c r="M139" s="242"/>
      <c r="N139" s="242"/>
      <c r="O139" s="242"/>
      <c r="U139" s="242"/>
      <c r="V139" s="242"/>
      <c r="W139" s="242"/>
      <c r="X139" s="242"/>
      <c r="Y139" s="242"/>
      <c r="Z139" s="242"/>
      <c r="AA139" s="242"/>
      <c r="AB139" s="242"/>
      <c r="AC139" s="242"/>
      <c r="AD139" s="242"/>
      <c r="AE139" s="242"/>
      <c r="AF139" s="242"/>
      <c r="AG139" s="242"/>
      <c r="AH139" s="242"/>
      <c r="AI139" s="242"/>
      <c r="AJ139" s="242"/>
      <c r="AK139" s="242"/>
      <c r="AL139" s="282">
        <v>92734</v>
      </c>
      <c r="AM139" s="242">
        <v>92140</v>
      </c>
      <c r="AN139" s="242"/>
      <c r="AO139" s="242"/>
      <c r="AP139" s="242"/>
      <c r="AQ139" s="242"/>
      <c r="AR139" s="242"/>
      <c r="AS139" s="242"/>
      <c r="AT139" s="242"/>
    </row>
    <row r="140" spans="2:46">
      <c r="B140" s="242">
        <v>20.5</v>
      </c>
      <c r="C140" s="287">
        <v>81</v>
      </c>
      <c r="D140" s="242"/>
      <c r="E140" s="242"/>
      <c r="F140" s="242"/>
      <c r="G140" s="242"/>
      <c r="H140" s="242"/>
      <c r="J140" s="242"/>
      <c r="K140" s="242"/>
      <c r="L140" s="242"/>
      <c r="M140" s="242"/>
      <c r="N140" s="242"/>
      <c r="O140" s="242"/>
      <c r="U140" s="242"/>
      <c r="V140" s="242"/>
      <c r="W140" s="242"/>
      <c r="X140" s="242"/>
      <c r="Y140" s="242"/>
      <c r="Z140" s="242"/>
      <c r="AA140" s="242"/>
      <c r="AB140" s="242"/>
      <c r="AC140" s="242"/>
      <c r="AD140" s="242"/>
      <c r="AE140" s="242"/>
      <c r="AF140" s="242"/>
      <c r="AG140" s="242"/>
      <c r="AH140" s="242"/>
      <c r="AI140" s="242"/>
      <c r="AJ140" s="242"/>
      <c r="AK140" s="242"/>
      <c r="AL140" s="282">
        <v>98728</v>
      </c>
      <c r="AM140" s="242">
        <v>98025</v>
      </c>
      <c r="AN140" s="242"/>
      <c r="AO140" s="242"/>
      <c r="AP140" s="242"/>
      <c r="AQ140" s="242"/>
      <c r="AR140" s="242"/>
      <c r="AS140" s="242"/>
      <c r="AT140" s="242"/>
    </row>
    <row r="141" spans="2:46">
      <c r="B141" s="242">
        <v>21</v>
      </c>
      <c r="C141" s="287">
        <v>82</v>
      </c>
      <c r="D141" s="242"/>
      <c r="E141" s="242"/>
      <c r="F141" s="242"/>
      <c r="G141" s="242"/>
      <c r="H141" s="242"/>
      <c r="J141" s="242"/>
      <c r="K141" s="242"/>
      <c r="L141" s="242"/>
      <c r="M141" s="242"/>
      <c r="N141" s="242"/>
      <c r="O141" s="242"/>
      <c r="U141" s="242"/>
      <c r="V141" s="242"/>
      <c r="W141" s="242"/>
      <c r="X141" s="242"/>
      <c r="Y141" s="242"/>
      <c r="Z141" s="242"/>
      <c r="AA141" s="242"/>
      <c r="AB141" s="242"/>
      <c r="AC141" s="242"/>
      <c r="AD141" s="242"/>
      <c r="AE141" s="242"/>
      <c r="AF141" s="242"/>
      <c r="AG141" s="242"/>
      <c r="AH141" s="242"/>
      <c r="AI141" s="242"/>
      <c r="AJ141" s="242"/>
      <c r="AK141" s="242"/>
      <c r="AL141" s="282">
        <v>105130</v>
      </c>
      <c r="AM141" s="242">
        <v>104280</v>
      </c>
      <c r="AN141" s="242"/>
      <c r="AO141" s="242"/>
      <c r="AP141" s="242"/>
      <c r="AQ141" s="242"/>
      <c r="AR141" s="242"/>
      <c r="AS141" s="242"/>
      <c r="AT141" s="242"/>
    </row>
    <row r="142" spans="2:46" ht="13.8" thickBot="1">
      <c r="B142" s="293">
        <v>21.5</v>
      </c>
      <c r="C142" s="294">
        <v>83</v>
      </c>
      <c r="D142" s="293"/>
      <c r="E142" s="293"/>
      <c r="F142" s="293"/>
      <c r="G142" s="293"/>
      <c r="H142" s="293"/>
      <c r="J142" s="242"/>
      <c r="K142" s="242"/>
      <c r="L142" s="242"/>
      <c r="M142" s="242"/>
      <c r="N142" s="242"/>
      <c r="O142" s="242"/>
      <c r="U142" s="242"/>
      <c r="V142" s="242"/>
      <c r="W142" s="242"/>
      <c r="X142" s="242"/>
      <c r="Y142" s="242"/>
      <c r="Z142" s="242"/>
      <c r="AA142" s="242"/>
      <c r="AB142" s="242"/>
      <c r="AC142" s="242"/>
      <c r="AD142" s="242"/>
      <c r="AE142" s="242"/>
      <c r="AF142" s="242"/>
      <c r="AG142" s="242"/>
      <c r="AH142" s="242"/>
      <c r="AI142" s="242"/>
      <c r="AJ142" s="242"/>
      <c r="AK142" s="242"/>
      <c r="AL142" s="288"/>
      <c r="AM142" s="290">
        <v>110980</v>
      </c>
      <c r="AN142" s="242"/>
      <c r="AO142" s="242"/>
      <c r="AP142" s="242"/>
      <c r="AQ142" s="242"/>
      <c r="AR142" s="242"/>
      <c r="AS142" s="242"/>
      <c r="AT142" s="242"/>
    </row>
    <row r="143" spans="2:46" ht="13.8" thickBot="1">
      <c r="B143" s="242"/>
      <c r="C143" s="242"/>
      <c r="D143" s="242"/>
      <c r="E143" s="293"/>
      <c r="F143" s="293"/>
      <c r="G143" s="293"/>
      <c r="H143" s="293"/>
      <c r="I143" s="293"/>
      <c r="J143" s="293"/>
      <c r="K143" s="242"/>
      <c r="L143" s="242"/>
      <c r="M143" s="242"/>
      <c r="N143" s="242"/>
      <c r="O143" s="242"/>
      <c r="U143" s="242"/>
      <c r="V143" s="242"/>
      <c r="W143" s="242"/>
      <c r="X143" s="242"/>
      <c r="Y143" s="242"/>
      <c r="Z143" s="242"/>
      <c r="AA143" s="242"/>
      <c r="AB143" s="242"/>
      <c r="AC143" s="242"/>
      <c r="AD143" s="242"/>
      <c r="AE143" s="242"/>
      <c r="AF143" s="242"/>
      <c r="AG143" s="242"/>
      <c r="AH143" s="242"/>
      <c r="AI143" s="242"/>
      <c r="AJ143" s="242"/>
      <c r="AK143" s="242"/>
      <c r="AL143" s="242"/>
      <c r="AM143" s="242"/>
      <c r="AN143" s="242"/>
      <c r="AO143" s="242"/>
      <c r="AP143" s="242"/>
      <c r="AQ143" s="242"/>
      <c r="AR143" s="242"/>
      <c r="AS143" s="242"/>
      <c r="AT143" s="242"/>
    </row>
    <row r="144" spans="2:46">
      <c r="I144" s="68"/>
      <c r="P144" s="68"/>
      <c r="Q144" s="68"/>
      <c r="R144" s="68"/>
      <c r="S144" s="68"/>
      <c r="T144" s="68"/>
      <c r="AN144" s="242"/>
      <c r="AO144" s="242"/>
      <c r="AP144" s="242"/>
      <c r="AQ144" s="242"/>
      <c r="AR144" s="242"/>
      <c r="AS144" s="242"/>
      <c r="AT144" s="242"/>
    </row>
    <row r="145" spans="9:46">
      <c r="I145" s="68"/>
      <c r="P145" s="68"/>
      <c r="Q145" s="68"/>
      <c r="R145" s="68"/>
      <c r="S145" s="68"/>
      <c r="T145" s="68"/>
      <c r="AN145" s="242"/>
      <c r="AO145" s="242"/>
      <c r="AP145" s="242"/>
      <c r="AQ145" s="242"/>
      <c r="AR145" s="242"/>
      <c r="AS145" s="242"/>
      <c r="AT145" s="242"/>
    </row>
    <row r="146" spans="9:46">
      <c r="I146" s="68"/>
      <c r="P146" s="68"/>
      <c r="Q146" s="68"/>
      <c r="R146" s="68"/>
      <c r="S146" s="68"/>
      <c r="T146" s="68"/>
      <c r="AN146" s="242"/>
      <c r="AO146" s="242"/>
      <c r="AP146" s="242"/>
      <c r="AQ146" s="242"/>
      <c r="AR146" s="242"/>
      <c r="AS146" s="242"/>
      <c r="AT146" s="242"/>
    </row>
    <row r="147" spans="9:46">
      <c r="I147" s="68"/>
      <c r="P147" s="68"/>
      <c r="Q147" s="68"/>
      <c r="R147" s="68"/>
      <c r="S147" s="68"/>
      <c r="T147" s="68"/>
      <c r="AN147" s="242"/>
      <c r="AO147" s="242"/>
      <c r="AP147" s="242"/>
      <c r="AQ147" s="242"/>
      <c r="AR147" s="242"/>
      <c r="AS147" s="242"/>
      <c r="AT147" s="242"/>
    </row>
    <row r="148" spans="9:46">
      <c r="I148" s="68"/>
      <c r="P148" s="68"/>
      <c r="Q148" s="68"/>
      <c r="R148" s="68"/>
      <c r="S148" s="68"/>
      <c r="T148" s="68"/>
      <c r="AN148" s="242"/>
      <c r="AO148" s="242"/>
      <c r="AP148" s="242"/>
      <c r="AQ148" s="242"/>
      <c r="AR148" s="242"/>
      <c r="AS148" s="242"/>
      <c r="AT148" s="242"/>
    </row>
    <row r="149" spans="9:46">
      <c r="I149" s="68"/>
      <c r="P149" s="68"/>
      <c r="Q149" s="68"/>
      <c r="R149" s="68"/>
      <c r="S149" s="68"/>
      <c r="T149" s="68"/>
      <c r="AN149" s="242"/>
      <c r="AO149" s="242"/>
      <c r="AP149" s="242"/>
      <c r="AQ149" s="242"/>
      <c r="AR149" s="242"/>
      <c r="AS149" s="242"/>
      <c r="AT149" s="242"/>
    </row>
    <row r="150" spans="9:46">
      <c r="I150" s="68"/>
      <c r="P150" s="68"/>
      <c r="Q150" s="68"/>
      <c r="R150" s="68"/>
      <c r="S150" s="68"/>
      <c r="T150" s="68"/>
      <c r="AN150" s="242"/>
      <c r="AO150" s="242"/>
      <c r="AP150" s="242"/>
      <c r="AQ150" s="242"/>
      <c r="AR150" s="242"/>
      <c r="AS150" s="242"/>
      <c r="AT150" s="242"/>
    </row>
    <row r="151" spans="9:46">
      <c r="I151" s="68"/>
      <c r="P151" s="68"/>
      <c r="Q151" s="68"/>
      <c r="R151" s="68"/>
      <c r="S151" s="68"/>
      <c r="T151" s="68"/>
      <c r="AN151" s="242"/>
      <c r="AO151" s="242"/>
      <c r="AP151" s="242"/>
      <c r="AQ151" s="242"/>
      <c r="AR151" s="242"/>
      <c r="AS151" s="242"/>
      <c r="AT151" s="242"/>
    </row>
    <row r="152" spans="9:46">
      <c r="I152" s="68"/>
      <c r="P152" s="68"/>
      <c r="Q152" s="68"/>
      <c r="R152" s="68"/>
      <c r="S152" s="68"/>
      <c r="T152" s="68"/>
      <c r="AN152" s="242"/>
      <c r="AO152" s="242"/>
      <c r="AP152" s="242"/>
      <c r="AQ152" s="242"/>
      <c r="AR152" s="242"/>
      <c r="AS152" s="242"/>
      <c r="AT152" s="242"/>
    </row>
    <row r="153" spans="9:46">
      <c r="I153" s="68"/>
      <c r="P153" s="68"/>
      <c r="Q153" s="68"/>
      <c r="R153" s="68"/>
      <c r="S153" s="68"/>
      <c r="T153" s="68"/>
      <c r="AN153" s="242"/>
      <c r="AO153" s="242"/>
      <c r="AP153" s="242"/>
      <c r="AQ153" s="242"/>
      <c r="AR153" s="242"/>
      <c r="AS153" s="242"/>
      <c r="AT153" s="242"/>
    </row>
    <row r="154" spans="9:46">
      <c r="I154" s="68"/>
      <c r="P154" s="68"/>
      <c r="Q154" s="68"/>
      <c r="R154" s="68"/>
      <c r="S154" s="68"/>
      <c r="T154" s="68"/>
      <c r="AN154" s="242"/>
      <c r="AO154" s="242"/>
      <c r="AP154" s="242"/>
      <c r="AQ154" s="242"/>
      <c r="AR154" s="242"/>
      <c r="AS154" s="242"/>
      <c r="AT154" s="242"/>
    </row>
    <row r="155" spans="9:46">
      <c r="I155" s="68"/>
      <c r="P155" s="68"/>
      <c r="Q155" s="68"/>
      <c r="R155" s="68"/>
      <c r="S155" s="68"/>
      <c r="T155" s="68"/>
      <c r="AN155" s="242"/>
      <c r="AO155" s="242"/>
      <c r="AP155" s="242"/>
      <c r="AQ155" s="242"/>
      <c r="AR155" s="242"/>
      <c r="AS155" s="242"/>
      <c r="AT155" s="242"/>
    </row>
    <row r="156" spans="9:46">
      <c r="I156" s="68"/>
      <c r="P156" s="68"/>
      <c r="Q156" s="68"/>
      <c r="R156" s="68"/>
      <c r="S156" s="68"/>
      <c r="T156" s="68"/>
      <c r="AN156" s="242"/>
      <c r="AO156" s="242"/>
      <c r="AP156" s="242"/>
      <c r="AQ156" s="242"/>
      <c r="AR156" s="242"/>
      <c r="AS156" s="242"/>
      <c r="AT156" s="242"/>
    </row>
    <row r="157" spans="9:46">
      <c r="I157" s="68"/>
      <c r="P157" s="68"/>
      <c r="Q157" s="68"/>
      <c r="R157" s="68"/>
      <c r="S157" s="68"/>
      <c r="T157" s="68"/>
      <c r="AN157" s="242"/>
      <c r="AO157" s="242"/>
      <c r="AP157" s="242"/>
      <c r="AQ157" s="242"/>
      <c r="AR157" s="242"/>
      <c r="AS157" s="242"/>
      <c r="AT157" s="242"/>
    </row>
    <row r="158" spans="9:46">
      <c r="I158" s="68"/>
      <c r="P158" s="68"/>
      <c r="Q158" s="68"/>
      <c r="R158" s="68"/>
      <c r="S158" s="68"/>
      <c r="T158" s="68"/>
      <c r="AN158" s="242"/>
      <c r="AO158" s="242"/>
      <c r="AP158" s="242"/>
      <c r="AQ158" s="242"/>
      <c r="AR158" s="242"/>
      <c r="AS158" s="242"/>
      <c r="AT158" s="242"/>
    </row>
    <row r="159" spans="9:46">
      <c r="I159" s="68"/>
      <c r="P159" s="68"/>
      <c r="Q159" s="68"/>
      <c r="R159" s="68"/>
      <c r="S159" s="68"/>
      <c r="T159" s="68"/>
      <c r="AN159" s="242"/>
      <c r="AO159" s="242"/>
      <c r="AP159" s="242"/>
      <c r="AQ159" s="242"/>
      <c r="AR159" s="242"/>
      <c r="AS159" s="242"/>
      <c r="AT159" s="242"/>
    </row>
    <row r="160" spans="9:46">
      <c r="I160" s="68"/>
      <c r="P160" s="68"/>
      <c r="Q160" s="68"/>
      <c r="R160" s="68"/>
      <c r="S160" s="68"/>
      <c r="T160" s="68"/>
      <c r="AN160" s="242"/>
      <c r="AO160" s="242"/>
      <c r="AP160" s="242"/>
      <c r="AQ160" s="242"/>
      <c r="AR160" s="242"/>
      <c r="AS160" s="242"/>
      <c r="AT160" s="242"/>
    </row>
    <row r="161" spans="9:46">
      <c r="I161" s="68"/>
      <c r="P161" s="68"/>
      <c r="Q161" s="68"/>
      <c r="R161" s="68"/>
      <c r="S161" s="68"/>
      <c r="T161" s="68"/>
      <c r="AN161" s="242"/>
      <c r="AO161" s="242"/>
      <c r="AP161" s="242"/>
      <c r="AQ161" s="242"/>
      <c r="AR161" s="242"/>
      <c r="AS161" s="242"/>
      <c r="AT161" s="242"/>
    </row>
    <row r="162" spans="9:46">
      <c r="I162" s="68"/>
      <c r="P162" s="68"/>
      <c r="Q162" s="68"/>
      <c r="R162" s="68"/>
      <c r="S162" s="68"/>
      <c r="T162" s="68"/>
      <c r="AN162" s="242"/>
      <c r="AO162" s="242"/>
      <c r="AP162" s="242"/>
      <c r="AQ162" s="242"/>
      <c r="AR162" s="242"/>
      <c r="AS162" s="242"/>
      <c r="AT162" s="242"/>
    </row>
    <row r="163" spans="9:46">
      <c r="I163" s="68"/>
      <c r="P163" s="68"/>
      <c r="Q163" s="68"/>
      <c r="R163" s="68"/>
      <c r="S163" s="68"/>
      <c r="T163" s="68"/>
      <c r="AN163" s="242"/>
      <c r="AO163" s="242"/>
      <c r="AP163" s="242"/>
      <c r="AQ163" s="242"/>
      <c r="AR163" s="242"/>
      <c r="AS163" s="242"/>
      <c r="AT163" s="242"/>
    </row>
    <row r="164" spans="9:46">
      <c r="I164" s="68"/>
      <c r="P164" s="68"/>
      <c r="Q164" s="68"/>
      <c r="R164" s="68"/>
      <c r="S164" s="68"/>
      <c r="T164" s="68"/>
      <c r="AN164" s="242"/>
      <c r="AO164" s="242"/>
      <c r="AP164" s="242"/>
      <c r="AQ164" s="242"/>
      <c r="AR164" s="242"/>
      <c r="AS164" s="242"/>
      <c r="AT164" s="242"/>
    </row>
    <row r="165" spans="9:46">
      <c r="I165" s="68"/>
      <c r="P165" s="68"/>
      <c r="Q165" s="68"/>
      <c r="R165" s="68"/>
      <c r="S165" s="68"/>
      <c r="T165" s="68"/>
      <c r="AN165" s="242"/>
      <c r="AO165" s="242"/>
      <c r="AP165" s="242"/>
      <c r="AQ165" s="242"/>
      <c r="AR165" s="242"/>
      <c r="AS165" s="242"/>
      <c r="AT165" s="242"/>
    </row>
    <row r="166" spans="9:46">
      <c r="I166" s="68"/>
      <c r="P166" s="68"/>
      <c r="Q166" s="68"/>
      <c r="R166" s="68"/>
      <c r="S166" s="68"/>
      <c r="T166" s="68"/>
      <c r="AN166" s="242"/>
      <c r="AO166" s="242"/>
      <c r="AP166" s="242"/>
      <c r="AQ166" s="242"/>
      <c r="AR166" s="242"/>
      <c r="AS166" s="242"/>
      <c r="AT166" s="242"/>
    </row>
    <row r="167" spans="9:46">
      <c r="I167" s="68"/>
      <c r="P167" s="68"/>
      <c r="Q167" s="68"/>
      <c r="R167" s="68"/>
      <c r="S167" s="68"/>
      <c r="T167" s="68"/>
      <c r="AN167" s="242"/>
      <c r="AO167" s="242"/>
      <c r="AP167" s="242"/>
      <c r="AQ167" s="242"/>
      <c r="AR167" s="242"/>
      <c r="AS167" s="242"/>
      <c r="AT167" s="242"/>
    </row>
    <row r="168" spans="9:46">
      <c r="I168" s="68"/>
      <c r="P168" s="68"/>
      <c r="Q168" s="68"/>
      <c r="R168" s="68"/>
      <c r="S168" s="68"/>
      <c r="T168" s="68"/>
      <c r="AN168" s="242"/>
      <c r="AO168" s="242"/>
      <c r="AP168" s="242"/>
      <c r="AQ168" s="242"/>
      <c r="AR168" s="242"/>
      <c r="AS168" s="242"/>
      <c r="AT168" s="242"/>
    </row>
    <row r="169" spans="9:46">
      <c r="I169" s="68"/>
      <c r="P169" s="68"/>
      <c r="Q169" s="68"/>
      <c r="R169" s="68"/>
      <c r="S169" s="68"/>
      <c r="T169" s="68"/>
      <c r="AN169" s="242"/>
      <c r="AO169" s="242"/>
      <c r="AP169" s="242"/>
      <c r="AQ169" s="242"/>
      <c r="AR169" s="242"/>
      <c r="AS169" s="242"/>
      <c r="AT169" s="242"/>
    </row>
    <row r="170" spans="9:46">
      <c r="I170" s="68"/>
      <c r="P170" s="68"/>
      <c r="Q170" s="68"/>
      <c r="R170" s="68"/>
      <c r="S170" s="68"/>
      <c r="T170" s="68"/>
      <c r="AN170" s="242"/>
      <c r="AO170" s="242"/>
      <c r="AP170" s="242"/>
      <c r="AQ170" s="242"/>
      <c r="AR170" s="242"/>
      <c r="AS170" s="242"/>
      <c r="AT170" s="242"/>
    </row>
    <row r="171" spans="9:46">
      <c r="I171" s="68"/>
      <c r="P171" s="68"/>
      <c r="Q171" s="68"/>
      <c r="R171" s="68"/>
      <c r="S171" s="68"/>
      <c r="T171" s="68"/>
      <c r="AN171" s="242"/>
      <c r="AO171" s="242"/>
      <c r="AP171" s="242"/>
      <c r="AQ171" s="242"/>
      <c r="AR171" s="242"/>
      <c r="AS171" s="242"/>
      <c r="AT171" s="242"/>
    </row>
    <row r="172" spans="9:46">
      <c r="I172" s="68"/>
      <c r="P172" s="68"/>
      <c r="Q172" s="68"/>
      <c r="R172" s="68"/>
      <c r="S172" s="68"/>
      <c r="T172" s="68"/>
      <c r="AN172" s="242"/>
      <c r="AO172" s="242"/>
      <c r="AP172" s="242"/>
      <c r="AQ172" s="242"/>
      <c r="AR172" s="242"/>
      <c r="AS172" s="242"/>
      <c r="AT172" s="242"/>
    </row>
    <row r="173" spans="9:46">
      <c r="I173" s="68"/>
      <c r="P173" s="68"/>
      <c r="Q173" s="68"/>
      <c r="R173" s="68"/>
      <c r="S173" s="68"/>
      <c r="T173" s="68"/>
      <c r="AN173" s="242"/>
      <c r="AO173" s="242"/>
      <c r="AP173" s="242"/>
      <c r="AQ173" s="242"/>
      <c r="AR173" s="242"/>
      <c r="AS173" s="242"/>
      <c r="AT173" s="242"/>
    </row>
    <row r="174" spans="9:46">
      <c r="I174" s="68"/>
      <c r="P174" s="68"/>
      <c r="Q174" s="68"/>
      <c r="R174" s="68"/>
      <c r="S174" s="68"/>
      <c r="T174" s="68"/>
      <c r="AN174" s="242"/>
      <c r="AO174" s="242"/>
      <c r="AP174" s="242"/>
      <c r="AQ174" s="242"/>
      <c r="AR174" s="242"/>
      <c r="AS174" s="242"/>
      <c r="AT174" s="242"/>
    </row>
    <row r="175" spans="9:46">
      <c r="I175" s="68"/>
      <c r="P175" s="68"/>
      <c r="Q175" s="68"/>
      <c r="R175" s="68"/>
      <c r="S175" s="68"/>
      <c r="T175" s="68"/>
      <c r="AN175" s="242"/>
      <c r="AO175" s="242"/>
      <c r="AP175" s="242"/>
      <c r="AQ175" s="242"/>
      <c r="AR175" s="242"/>
      <c r="AS175" s="242"/>
      <c r="AT175" s="242"/>
    </row>
    <row r="176" spans="9:46">
      <c r="I176" s="68"/>
      <c r="P176" s="68"/>
      <c r="Q176" s="68"/>
      <c r="R176" s="68"/>
      <c r="S176" s="68"/>
      <c r="T176" s="68"/>
      <c r="AN176" s="242"/>
      <c r="AO176" s="242"/>
      <c r="AP176" s="242"/>
      <c r="AQ176" s="242"/>
      <c r="AR176" s="242"/>
      <c r="AS176" s="242"/>
      <c r="AT176" s="242"/>
    </row>
    <row r="177" spans="1:86">
      <c r="I177" s="68"/>
      <c r="P177" s="68"/>
      <c r="Q177" s="68"/>
      <c r="R177" s="68"/>
      <c r="S177" s="68"/>
      <c r="T177" s="68"/>
      <c r="AN177" s="242"/>
      <c r="AO177" s="242"/>
      <c r="AP177" s="242"/>
      <c r="AQ177" s="242"/>
      <c r="AR177" s="242"/>
      <c r="AS177" s="242"/>
      <c r="AT177" s="242"/>
    </row>
    <row r="178" spans="1:86">
      <c r="I178" s="68"/>
      <c r="P178" s="68"/>
      <c r="Q178" s="68"/>
      <c r="R178" s="68"/>
      <c r="S178" s="68"/>
      <c r="T178" s="68"/>
      <c r="AN178" s="242"/>
      <c r="AO178" s="242"/>
      <c r="AP178" s="242"/>
      <c r="AQ178" s="242"/>
      <c r="AR178" s="242"/>
      <c r="AS178" s="242"/>
      <c r="AT178" s="242"/>
    </row>
    <row r="179" spans="1:86">
      <c r="I179" s="68"/>
      <c r="P179" s="68"/>
      <c r="Q179" s="68"/>
      <c r="R179" s="68"/>
      <c r="S179" s="68"/>
      <c r="T179" s="68"/>
      <c r="AN179" s="242"/>
      <c r="AO179" s="242"/>
      <c r="AP179" s="242"/>
      <c r="AQ179" s="242"/>
      <c r="AR179" s="242"/>
      <c r="AS179" s="242"/>
      <c r="AT179" s="242"/>
    </row>
    <row r="180" spans="1:86">
      <c r="I180" s="68"/>
      <c r="P180" s="68"/>
      <c r="Q180" s="68"/>
      <c r="R180" s="68"/>
      <c r="S180" s="68"/>
      <c r="T180" s="68"/>
      <c r="AN180" s="242"/>
      <c r="AO180" s="242"/>
      <c r="AP180" s="242"/>
      <c r="AQ180" s="242"/>
      <c r="AR180" s="242"/>
      <c r="AS180" s="242"/>
      <c r="AT180" s="242"/>
    </row>
    <row r="181" spans="1:86">
      <c r="I181" s="68"/>
      <c r="P181" s="68"/>
      <c r="Q181" s="68"/>
      <c r="R181" s="68"/>
      <c r="S181" s="68"/>
      <c r="T181" s="68"/>
      <c r="AN181" s="242"/>
      <c r="AO181" s="242"/>
      <c r="AP181" s="242"/>
      <c r="AQ181" s="242"/>
      <c r="AR181" s="242"/>
      <c r="AS181" s="242"/>
      <c r="AT181" s="242"/>
    </row>
    <row r="182" spans="1:86">
      <c r="I182" s="68"/>
      <c r="P182" s="68"/>
      <c r="Q182" s="68"/>
      <c r="R182" s="68"/>
      <c r="S182" s="68"/>
      <c r="T182" s="68"/>
      <c r="AN182" s="242"/>
      <c r="AO182" s="242"/>
      <c r="AP182" s="242"/>
      <c r="AQ182" s="242"/>
      <c r="AR182" s="242"/>
      <c r="AS182" s="242"/>
      <c r="AT182" s="242"/>
    </row>
    <row r="183" spans="1:86">
      <c r="I183" s="68"/>
      <c r="P183" s="68"/>
      <c r="Q183" s="68"/>
      <c r="R183" s="68"/>
      <c r="S183" s="68"/>
      <c r="T183" s="68"/>
      <c r="AN183" s="242"/>
      <c r="AO183" s="242"/>
      <c r="AP183" s="242"/>
      <c r="AQ183" s="242"/>
      <c r="AR183" s="242"/>
      <c r="AS183" s="242"/>
      <c r="AT183" s="242"/>
    </row>
    <row r="184" spans="1:86">
      <c r="I184" s="68"/>
      <c r="P184" s="68"/>
      <c r="Q184" s="68"/>
      <c r="R184" s="68"/>
      <c r="S184" s="68"/>
      <c r="T184" s="68"/>
      <c r="AN184" s="242"/>
      <c r="AO184" s="242"/>
      <c r="AP184" s="242"/>
      <c r="AQ184" s="242"/>
      <c r="AR184" s="242"/>
      <c r="AS184" s="242"/>
      <c r="AT184" s="242"/>
    </row>
    <row r="185" spans="1:86">
      <c r="I185" s="68"/>
      <c r="P185" s="68"/>
      <c r="Q185" s="68"/>
      <c r="R185" s="68"/>
      <c r="S185" s="68"/>
      <c r="T185" s="68"/>
      <c r="AN185" s="242"/>
      <c r="AO185" s="242"/>
      <c r="AP185" s="242"/>
      <c r="AQ185" s="242"/>
      <c r="AR185" s="242"/>
      <c r="AS185" s="242"/>
      <c r="AT185" s="242"/>
    </row>
    <row r="186" spans="1:86">
      <c r="I186" s="68"/>
      <c r="P186" s="68"/>
      <c r="Q186" s="68"/>
      <c r="R186" s="68"/>
      <c r="S186" s="68"/>
      <c r="T186" s="68"/>
      <c r="AN186" s="242"/>
      <c r="AO186" s="242"/>
      <c r="AP186" s="242"/>
      <c r="AQ186" s="242"/>
      <c r="AR186" s="242"/>
      <c r="AS186" s="242"/>
      <c r="AT186" s="242"/>
    </row>
    <row r="187" spans="1:86">
      <c r="B187" s="242"/>
      <c r="C187" s="242"/>
      <c r="D187" s="242"/>
      <c r="E187" s="242"/>
      <c r="F187" s="242"/>
      <c r="G187" s="242"/>
      <c r="H187" s="242"/>
      <c r="J187" s="242"/>
      <c r="K187" s="242"/>
      <c r="L187" s="242"/>
      <c r="M187" s="242"/>
      <c r="N187" s="242"/>
      <c r="O187" s="242"/>
      <c r="U187" s="242"/>
      <c r="V187" s="242"/>
      <c r="W187" s="242"/>
      <c r="X187" s="242"/>
      <c r="Y187" s="242"/>
      <c r="Z187" s="242"/>
      <c r="AA187" s="242"/>
      <c r="AB187" s="242"/>
      <c r="AC187" s="242"/>
      <c r="AD187" s="242"/>
      <c r="AE187" s="242"/>
      <c r="AF187" s="242"/>
      <c r="AG187" s="242"/>
      <c r="AH187" s="242"/>
      <c r="AI187" s="242"/>
      <c r="AJ187" s="242"/>
      <c r="AK187" s="242"/>
      <c r="AL187" s="242"/>
      <c r="AM187" s="242"/>
      <c r="AN187" s="242"/>
      <c r="AO187" s="242"/>
      <c r="AP187" s="242"/>
      <c r="AQ187" s="242"/>
      <c r="AR187" s="242"/>
      <c r="AS187" s="242"/>
      <c r="AT187" s="242"/>
    </row>
    <row r="188" spans="1:86">
      <c r="B188" s="242"/>
      <c r="C188" s="242"/>
      <c r="D188" s="242"/>
      <c r="E188" s="242"/>
      <c r="F188" s="242"/>
      <c r="G188" s="242"/>
      <c r="H188" s="242"/>
      <c r="J188" s="242"/>
      <c r="K188" s="242"/>
      <c r="L188" s="242"/>
      <c r="M188" s="242"/>
      <c r="N188" s="242"/>
      <c r="O188" s="242"/>
      <c r="U188" s="242"/>
      <c r="V188" s="242"/>
      <c r="W188" s="242"/>
      <c r="X188" s="242"/>
      <c r="Y188" s="242"/>
      <c r="Z188" s="242"/>
      <c r="AA188" s="242"/>
      <c r="AB188" s="242"/>
      <c r="AC188" s="242"/>
      <c r="AD188" s="242"/>
      <c r="AE188" s="242"/>
      <c r="AF188" s="242"/>
      <c r="AG188" s="242"/>
      <c r="AH188" s="242"/>
      <c r="AI188" s="242"/>
      <c r="AJ188" s="242"/>
      <c r="AK188" s="242"/>
      <c r="AL188" s="242"/>
      <c r="AM188" s="242"/>
      <c r="AN188" s="242"/>
      <c r="AO188" s="242"/>
      <c r="AP188" s="242"/>
      <c r="AQ188" s="242"/>
      <c r="AR188" s="242"/>
      <c r="AS188" s="242"/>
      <c r="AT188" s="242"/>
    </row>
    <row r="189" spans="1:86" ht="15">
      <c r="A189" s="3"/>
      <c r="B189" s="295"/>
      <c r="C189" s="295"/>
      <c r="D189" s="295"/>
      <c r="E189" s="242"/>
      <c r="F189" s="242"/>
      <c r="G189" s="242"/>
      <c r="H189" s="242"/>
      <c r="J189" s="242"/>
      <c r="K189" s="242"/>
      <c r="L189" s="242"/>
      <c r="M189" s="242"/>
      <c r="N189" s="242"/>
      <c r="O189" s="242"/>
      <c r="U189" s="242"/>
      <c r="V189" s="242"/>
      <c r="W189" s="242"/>
      <c r="X189" s="242"/>
      <c r="Y189" s="242"/>
      <c r="Z189" s="242"/>
      <c r="AA189" s="242"/>
      <c r="AB189" s="242"/>
      <c r="AC189" s="242"/>
      <c r="AD189" s="242"/>
      <c r="AE189" s="242"/>
      <c r="AF189" s="242"/>
      <c r="AG189" s="242"/>
      <c r="AH189" s="242"/>
      <c r="AI189" s="242"/>
      <c r="AJ189" s="242"/>
      <c r="AK189" s="242"/>
      <c r="AL189" s="242"/>
      <c r="AM189" s="242"/>
      <c r="AN189" s="242"/>
      <c r="AO189" s="242"/>
      <c r="AP189" s="242"/>
      <c r="AQ189" s="242"/>
      <c r="AR189" s="242"/>
      <c r="AS189" s="242"/>
      <c r="AT189" s="242"/>
    </row>
    <row r="190" spans="1:86">
      <c r="B190" s="242"/>
      <c r="C190" s="242"/>
      <c r="D190" s="242"/>
      <c r="E190" s="242"/>
      <c r="F190" s="242"/>
      <c r="G190" s="242"/>
      <c r="H190" s="242"/>
      <c r="J190" s="242"/>
      <c r="K190" s="242"/>
      <c r="L190" s="242"/>
      <c r="M190" s="242"/>
      <c r="N190" s="242"/>
      <c r="O190" s="242"/>
      <c r="U190" s="242"/>
      <c r="V190" s="242"/>
      <c r="W190" s="242"/>
      <c r="X190" s="242"/>
      <c r="Y190" s="242"/>
      <c r="Z190" s="242"/>
      <c r="AA190" s="242"/>
      <c r="AB190" s="242"/>
      <c r="AC190" s="242"/>
      <c r="AD190" s="242"/>
      <c r="AE190" s="242"/>
      <c r="AF190" s="242"/>
      <c r="AG190" s="242"/>
      <c r="AH190" s="242"/>
      <c r="AI190" s="242"/>
      <c r="AJ190" s="242"/>
      <c r="AK190" s="242"/>
      <c r="AL190" s="242"/>
      <c r="AM190" s="242"/>
      <c r="AN190" s="242"/>
      <c r="AO190" s="242"/>
      <c r="AP190" s="242"/>
      <c r="AQ190" s="242"/>
      <c r="AR190" s="242"/>
      <c r="AS190" s="242"/>
      <c r="AT190" s="242"/>
    </row>
    <row r="191" spans="1:86">
      <c r="B191" s="242"/>
      <c r="C191" s="202" t="s">
        <v>99</v>
      </c>
      <c r="D191" s="242"/>
      <c r="F191" s="242"/>
      <c r="G191" s="242"/>
      <c r="H191" s="242"/>
      <c r="J191" s="242"/>
      <c r="K191" s="242"/>
      <c r="L191" s="242"/>
      <c r="M191" s="242"/>
      <c r="N191" s="242"/>
      <c r="O191" s="242"/>
      <c r="U191" s="242"/>
      <c r="V191" s="242"/>
      <c r="W191" s="242"/>
      <c r="X191" s="242"/>
      <c r="Y191" s="242"/>
      <c r="Z191" s="242"/>
      <c r="AA191" s="242"/>
      <c r="AB191" s="242"/>
      <c r="AC191" s="242"/>
      <c r="AD191" s="242"/>
      <c r="AE191" s="242"/>
      <c r="AF191" s="242"/>
      <c r="AG191" s="242"/>
      <c r="AH191" s="242"/>
      <c r="AI191" s="242"/>
      <c r="AJ191" s="242"/>
      <c r="AK191" s="242"/>
      <c r="AL191" s="242"/>
      <c r="AM191" s="242"/>
      <c r="AN191" s="242"/>
      <c r="AO191" s="242"/>
      <c r="AP191" s="242"/>
      <c r="AQ191" s="242"/>
      <c r="AR191" s="242"/>
      <c r="AS191" s="242"/>
      <c r="AT191" s="242"/>
    </row>
    <row r="192" spans="1:86" s="6" customFormat="1">
      <c r="A192" s="12" t="s">
        <v>100</v>
      </c>
      <c r="B192" s="296" t="s">
        <v>101</v>
      </c>
      <c r="C192" s="297" t="s">
        <v>102</v>
      </c>
      <c r="D192" s="290" t="s">
        <v>103</v>
      </c>
      <c r="E192" s="68"/>
      <c r="F192" s="290"/>
      <c r="G192" s="290"/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  <c r="AI192" s="290"/>
      <c r="AJ192" s="290"/>
      <c r="AK192" s="290"/>
      <c r="AL192" s="290"/>
      <c r="AM192" s="290"/>
      <c r="AN192" s="290"/>
      <c r="AO192" s="290"/>
      <c r="AP192" s="290"/>
      <c r="AQ192" s="290"/>
      <c r="AR192" s="290"/>
      <c r="AS192" s="290"/>
      <c r="AT192" s="290"/>
      <c r="AU192" s="179"/>
      <c r="AV192" s="179"/>
      <c r="AW192" s="179"/>
      <c r="AX192" s="179"/>
      <c r="AY192" s="179"/>
      <c r="AZ192" s="179"/>
      <c r="BA192" s="179"/>
      <c r="BB192" s="179"/>
      <c r="BC192" s="179"/>
      <c r="BD192" s="179"/>
      <c r="BE192" s="179"/>
      <c r="BF192" s="179"/>
      <c r="BG192" s="179"/>
      <c r="BH192" s="179"/>
      <c r="BI192" s="179"/>
      <c r="BJ192" s="179"/>
      <c r="BK192" s="179"/>
      <c r="BL192" s="179"/>
      <c r="BM192" s="179"/>
      <c r="BN192" s="179"/>
      <c r="BO192" s="179"/>
      <c r="BP192" s="179"/>
      <c r="BQ192" s="179"/>
      <c r="BR192" s="179"/>
      <c r="BS192" s="179"/>
      <c r="BT192" s="179"/>
      <c r="BU192" s="179"/>
      <c r="BV192" s="179"/>
      <c r="BW192" s="179"/>
      <c r="BX192" s="179"/>
      <c r="BY192" s="179"/>
      <c r="BZ192" s="179"/>
      <c r="CA192" s="179"/>
      <c r="CB192" s="179"/>
      <c r="CC192" s="179"/>
      <c r="CD192" s="179"/>
      <c r="CE192" s="179"/>
      <c r="CF192" s="179"/>
      <c r="CG192" s="179"/>
      <c r="CH192" s="179"/>
    </row>
    <row r="193" spans="1:46">
      <c r="A193" s="13" t="s">
        <v>104</v>
      </c>
      <c r="B193" s="257" t="s">
        <v>105</v>
      </c>
      <c r="C193" s="298">
        <v>59.7</v>
      </c>
      <c r="G193" s="242"/>
      <c r="H193" s="242"/>
      <c r="J193" s="242"/>
      <c r="K193" s="242"/>
      <c r="L193" s="242"/>
      <c r="M193" s="242"/>
      <c r="N193" s="242"/>
      <c r="O193" s="242"/>
      <c r="U193" s="242"/>
      <c r="V193" s="242"/>
      <c r="W193" s="242"/>
      <c r="X193" s="242"/>
      <c r="Y193" s="242"/>
      <c r="Z193" s="242"/>
      <c r="AA193" s="242"/>
      <c r="AB193" s="242"/>
      <c r="AC193" s="242"/>
      <c r="AD193" s="242"/>
      <c r="AE193" s="242"/>
      <c r="AF193" s="242"/>
      <c r="AG193" s="242"/>
      <c r="AH193" s="242"/>
      <c r="AI193" s="242"/>
      <c r="AJ193" s="242"/>
      <c r="AK193" s="242"/>
      <c r="AL193" s="242"/>
      <c r="AM193" s="242"/>
      <c r="AN193" s="242"/>
      <c r="AO193" s="242"/>
      <c r="AP193" s="242"/>
      <c r="AQ193" s="242"/>
      <c r="AR193" s="242"/>
      <c r="AS193" s="242"/>
      <c r="AT193" s="242"/>
    </row>
    <row r="194" spans="1:46">
      <c r="A194" s="13" t="s">
        <v>106</v>
      </c>
      <c r="B194" s="257" t="s">
        <v>107</v>
      </c>
      <c r="C194" s="298">
        <v>27.4</v>
      </c>
      <c r="G194" s="242"/>
      <c r="H194" s="242"/>
      <c r="J194" s="242"/>
      <c r="K194" s="242"/>
      <c r="L194" s="242"/>
      <c r="M194" s="242"/>
      <c r="N194" s="242"/>
      <c r="O194" s="242"/>
      <c r="U194" s="242"/>
      <c r="V194" s="242"/>
      <c r="W194" s="242"/>
      <c r="X194" s="242"/>
      <c r="Y194" s="242"/>
      <c r="Z194" s="242"/>
      <c r="AA194" s="242"/>
      <c r="AB194" s="242"/>
      <c r="AC194" s="242"/>
      <c r="AD194" s="242"/>
      <c r="AE194" s="242"/>
      <c r="AF194" s="242"/>
      <c r="AG194" s="242"/>
      <c r="AH194" s="242"/>
      <c r="AI194" s="242"/>
      <c r="AJ194" s="242"/>
      <c r="AK194" s="242"/>
      <c r="AL194" s="242"/>
      <c r="AM194" s="242"/>
      <c r="AN194" s="242"/>
      <c r="AO194" s="242"/>
      <c r="AP194" s="242"/>
      <c r="AQ194" s="242"/>
      <c r="AR194" s="242"/>
      <c r="AS194" s="242"/>
      <c r="AT194" s="242"/>
    </row>
    <row r="195" spans="1:46">
      <c r="A195" s="13" t="s">
        <v>108</v>
      </c>
      <c r="B195" s="257" t="s">
        <v>109</v>
      </c>
      <c r="C195" s="298">
        <v>110.3</v>
      </c>
      <c r="G195" s="242"/>
      <c r="H195" s="242"/>
      <c r="J195" s="242"/>
      <c r="K195" s="242"/>
      <c r="L195" s="242"/>
      <c r="M195" s="242"/>
      <c r="N195" s="242"/>
      <c r="O195" s="242"/>
      <c r="U195" s="242"/>
      <c r="V195" s="242"/>
      <c r="W195" s="242"/>
      <c r="X195" s="242"/>
      <c r="Y195" s="242"/>
      <c r="Z195" s="242"/>
      <c r="AA195" s="242"/>
      <c r="AB195" s="242"/>
      <c r="AC195" s="242"/>
      <c r="AD195" s="242"/>
      <c r="AE195" s="242"/>
      <c r="AF195" s="242"/>
      <c r="AG195" s="242"/>
      <c r="AH195" s="242"/>
      <c r="AI195" s="242"/>
      <c r="AJ195" s="242"/>
      <c r="AK195" s="242"/>
      <c r="AL195" s="242"/>
      <c r="AM195" s="242"/>
      <c r="AN195" s="242"/>
      <c r="AO195" s="242"/>
      <c r="AP195" s="242"/>
      <c r="AQ195" s="242"/>
      <c r="AR195" s="242"/>
      <c r="AS195" s="242"/>
      <c r="AT195" s="242"/>
    </row>
    <row r="196" spans="1:46">
      <c r="A196" s="13" t="s">
        <v>110</v>
      </c>
      <c r="B196" s="257" t="s">
        <v>111</v>
      </c>
      <c r="C196" s="298">
        <v>197.2</v>
      </c>
      <c r="G196" s="242"/>
      <c r="H196" s="242"/>
      <c r="J196" s="242"/>
      <c r="K196" s="242"/>
      <c r="L196" s="242"/>
      <c r="M196" s="242"/>
      <c r="N196" s="242"/>
      <c r="O196" s="242"/>
      <c r="U196" s="242"/>
      <c r="V196" s="242"/>
      <c r="W196" s="242"/>
      <c r="X196" s="242"/>
      <c r="Y196" s="242"/>
      <c r="Z196" s="242"/>
      <c r="AA196" s="242"/>
      <c r="AB196" s="242"/>
      <c r="AC196" s="242"/>
      <c r="AD196" s="242"/>
      <c r="AE196" s="242"/>
      <c r="AF196" s="242"/>
      <c r="AG196" s="242"/>
      <c r="AH196" s="242"/>
      <c r="AI196" s="242"/>
      <c r="AJ196" s="242"/>
      <c r="AK196" s="242"/>
      <c r="AL196" s="242"/>
      <c r="AM196" s="242"/>
      <c r="AN196" s="242"/>
      <c r="AO196" s="242"/>
      <c r="AP196" s="242"/>
      <c r="AQ196" s="242"/>
      <c r="AR196" s="242"/>
      <c r="AS196" s="242"/>
      <c r="AT196" s="242"/>
    </row>
    <row r="197" spans="1:46">
      <c r="A197" s="13" t="s">
        <v>112</v>
      </c>
      <c r="B197" s="257" t="s">
        <v>113</v>
      </c>
      <c r="C197" s="298">
        <v>52.9</v>
      </c>
      <c r="G197" s="242"/>
      <c r="H197" s="242"/>
      <c r="J197" s="242"/>
      <c r="K197" s="242"/>
      <c r="L197" s="242"/>
      <c r="M197" s="242"/>
      <c r="N197" s="242"/>
      <c r="O197" s="242"/>
      <c r="U197" s="242"/>
      <c r="V197" s="242"/>
      <c r="W197" s="242"/>
      <c r="X197" s="242"/>
      <c r="Y197" s="242"/>
      <c r="Z197" s="242"/>
      <c r="AA197" s="242"/>
      <c r="AB197" s="242"/>
      <c r="AC197" s="242"/>
      <c r="AD197" s="242"/>
      <c r="AE197" s="242"/>
      <c r="AF197" s="242"/>
      <c r="AG197" s="242"/>
      <c r="AH197" s="242"/>
      <c r="AI197" s="242"/>
      <c r="AJ197" s="242"/>
      <c r="AK197" s="242"/>
      <c r="AL197" s="242"/>
      <c r="AM197" s="242"/>
      <c r="AN197" s="242"/>
      <c r="AO197" s="242"/>
      <c r="AP197" s="242"/>
      <c r="AQ197" s="242"/>
      <c r="AR197" s="242"/>
      <c r="AS197" s="242"/>
      <c r="AT197" s="242"/>
    </row>
    <row r="198" spans="1:46">
      <c r="A198" s="8" t="s">
        <v>114</v>
      </c>
      <c r="B198" s="257" t="s">
        <v>115</v>
      </c>
      <c r="C198" s="298">
        <v>42.2</v>
      </c>
      <c r="G198" s="242"/>
      <c r="H198" s="242"/>
      <c r="J198" s="242"/>
      <c r="K198" s="242"/>
      <c r="L198" s="242"/>
      <c r="M198" s="242"/>
      <c r="N198" s="242"/>
      <c r="O198" s="242"/>
      <c r="U198" s="242"/>
      <c r="V198" s="242"/>
      <c r="W198" s="242"/>
      <c r="X198" s="242"/>
      <c r="Y198" s="242"/>
      <c r="Z198" s="242"/>
      <c r="AA198" s="242"/>
      <c r="AB198" s="242"/>
      <c r="AC198" s="242"/>
      <c r="AD198" s="242"/>
      <c r="AE198" s="242"/>
      <c r="AF198" s="242"/>
      <c r="AG198" s="242"/>
      <c r="AH198" s="242"/>
      <c r="AI198" s="242"/>
      <c r="AJ198" s="242"/>
      <c r="AK198" s="242"/>
      <c r="AL198" s="242"/>
      <c r="AM198" s="242"/>
      <c r="AN198" s="242"/>
      <c r="AO198" s="242"/>
      <c r="AP198" s="242"/>
      <c r="AQ198" s="242"/>
      <c r="AR198" s="242"/>
      <c r="AS198" s="242"/>
      <c r="AT198" s="242"/>
    </row>
    <row r="199" spans="1:46">
      <c r="A199" s="13" t="s">
        <v>116</v>
      </c>
      <c r="B199" s="257" t="s">
        <v>117</v>
      </c>
      <c r="C199" s="298">
        <v>127.7</v>
      </c>
      <c r="G199" s="242"/>
      <c r="H199" s="242"/>
      <c r="J199" s="242"/>
      <c r="K199" s="242"/>
      <c r="L199" s="242"/>
      <c r="M199" s="242"/>
      <c r="N199" s="242"/>
      <c r="O199" s="242"/>
      <c r="U199" s="242"/>
      <c r="V199" s="242"/>
      <c r="W199" s="242"/>
      <c r="X199" s="242"/>
      <c r="Y199" s="242"/>
      <c r="Z199" s="242"/>
      <c r="AA199" s="242"/>
      <c r="AB199" s="242"/>
      <c r="AC199" s="242"/>
      <c r="AD199" s="242"/>
      <c r="AE199" s="242"/>
      <c r="AF199" s="242"/>
      <c r="AG199" s="242"/>
      <c r="AH199" s="242"/>
      <c r="AI199" s="242"/>
      <c r="AJ199" s="242"/>
      <c r="AK199" s="242"/>
      <c r="AL199" s="242"/>
      <c r="AM199" s="242"/>
      <c r="AN199" s="242"/>
      <c r="AO199" s="242"/>
      <c r="AP199" s="242"/>
      <c r="AQ199" s="242"/>
      <c r="AR199" s="242"/>
      <c r="AS199" s="242"/>
      <c r="AT199" s="242"/>
    </row>
    <row r="200" spans="1:46">
      <c r="A200" s="13" t="s">
        <v>118</v>
      </c>
      <c r="B200" s="257" t="s">
        <v>119</v>
      </c>
      <c r="C200" s="298">
        <v>199.2</v>
      </c>
      <c r="G200" s="242"/>
      <c r="H200" s="242"/>
      <c r="J200" s="242"/>
      <c r="K200" s="242"/>
      <c r="L200" s="242"/>
      <c r="M200" s="242"/>
      <c r="N200" s="242"/>
      <c r="O200" s="242"/>
      <c r="U200" s="242"/>
      <c r="V200" s="242"/>
      <c r="W200" s="242"/>
      <c r="X200" s="242"/>
      <c r="Y200" s="242"/>
      <c r="Z200" s="242"/>
      <c r="AA200" s="242"/>
      <c r="AB200" s="242"/>
      <c r="AC200" s="242"/>
      <c r="AD200" s="242"/>
      <c r="AE200" s="242"/>
      <c r="AF200" s="242"/>
      <c r="AG200" s="242"/>
      <c r="AH200" s="242"/>
      <c r="AI200" s="242"/>
      <c r="AJ200" s="242"/>
      <c r="AK200" s="242"/>
      <c r="AL200" s="242"/>
      <c r="AM200" s="242"/>
      <c r="AN200" s="242"/>
      <c r="AO200" s="242"/>
      <c r="AP200" s="242"/>
      <c r="AQ200" s="242"/>
      <c r="AR200" s="242"/>
      <c r="AS200" s="242"/>
      <c r="AT200" s="242"/>
    </row>
    <row r="201" spans="1:46">
      <c r="A201" s="13" t="s">
        <v>120</v>
      </c>
      <c r="B201" s="257" t="s">
        <v>121</v>
      </c>
      <c r="C201" s="298">
        <v>402</v>
      </c>
      <c r="G201" s="242"/>
      <c r="H201" s="242"/>
      <c r="J201" s="242"/>
      <c r="K201" s="242"/>
      <c r="L201" s="242"/>
      <c r="M201" s="242"/>
      <c r="N201" s="242"/>
      <c r="O201" s="242"/>
      <c r="U201" s="242"/>
      <c r="V201" s="242"/>
      <c r="W201" s="242"/>
      <c r="X201" s="242"/>
      <c r="Y201" s="242"/>
      <c r="Z201" s="242"/>
      <c r="AA201" s="242"/>
      <c r="AB201" s="242"/>
      <c r="AC201" s="242"/>
      <c r="AD201" s="242"/>
    </row>
    <row r="202" spans="1:46">
      <c r="A202" s="8" t="s">
        <v>122</v>
      </c>
      <c r="B202" s="257" t="s">
        <v>123</v>
      </c>
      <c r="C202" s="298">
        <v>118.6</v>
      </c>
      <c r="G202" s="242"/>
      <c r="H202" s="242"/>
      <c r="J202" s="242"/>
      <c r="K202" s="242"/>
      <c r="L202" s="242"/>
      <c r="M202" s="242"/>
      <c r="N202" s="242"/>
      <c r="O202" s="242"/>
      <c r="U202" s="242"/>
      <c r="V202" s="242"/>
      <c r="W202" s="242"/>
      <c r="X202" s="242"/>
      <c r="Y202" s="242"/>
      <c r="Z202" s="242"/>
      <c r="AA202" s="242"/>
      <c r="AB202" s="242"/>
      <c r="AC202" s="242"/>
      <c r="AD202" s="242"/>
    </row>
    <row r="203" spans="1:46">
      <c r="A203" s="13" t="s">
        <v>124</v>
      </c>
      <c r="B203" s="257" t="s">
        <v>125</v>
      </c>
      <c r="C203" s="298">
        <v>94.7</v>
      </c>
      <c r="G203" s="242"/>
      <c r="H203" s="242"/>
      <c r="J203" s="242"/>
      <c r="K203" s="242"/>
      <c r="L203" s="242"/>
      <c r="M203" s="242"/>
      <c r="N203" s="242"/>
      <c r="O203" s="242"/>
      <c r="U203" s="242"/>
      <c r="V203" s="242"/>
      <c r="W203" s="242"/>
      <c r="X203" s="242"/>
      <c r="Y203" s="242"/>
      <c r="Z203" s="242"/>
      <c r="AA203" s="242"/>
      <c r="AB203" s="242"/>
      <c r="AC203" s="242"/>
      <c r="AD203" s="242"/>
    </row>
    <row r="204" spans="1:46">
      <c r="A204" s="8" t="s">
        <v>126</v>
      </c>
      <c r="B204" s="257" t="s">
        <v>127</v>
      </c>
      <c r="C204" s="299">
        <v>92.2</v>
      </c>
      <c r="G204" s="242"/>
      <c r="H204" s="242"/>
      <c r="J204" s="242"/>
      <c r="K204" s="242"/>
      <c r="L204" s="242"/>
      <c r="M204" s="242"/>
      <c r="N204" s="242"/>
      <c r="O204" s="242"/>
      <c r="U204" s="242"/>
      <c r="V204" s="242"/>
      <c r="W204" s="242"/>
      <c r="X204" s="242"/>
      <c r="Y204" s="242"/>
      <c r="Z204" s="242"/>
      <c r="AA204" s="242"/>
      <c r="AB204" s="242"/>
      <c r="AC204" s="242"/>
      <c r="AD204" s="242"/>
    </row>
    <row r="205" spans="1:46">
      <c r="A205" s="8"/>
      <c r="B205" s="191" t="s">
        <v>128</v>
      </c>
      <c r="C205" s="298">
        <f>SUM(C193:C204)</f>
        <v>1524.1</v>
      </c>
      <c r="G205" s="242"/>
      <c r="H205" s="242"/>
      <c r="J205" s="242"/>
      <c r="K205" s="242"/>
      <c r="L205" s="242"/>
      <c r="M205" s="242"/>
      <c r="N205" s="242"/>
      <c r="O205" s="242"/>
      <c r="U205" s="242"/>
      <c r="V205" s="242"/>
      <c r="W205" s="242"/>
      <c r="X205" s="242"/>
      <c r="Y205" s="242"/>
      <c r="Z205" s="242"/>
      <c r="AA205" s="242"/>
      <c r="AB205" s="242"/>
      <c r="AC205" s="242"/>
      <c r="AD205" s="242"/>
    </row>
    <row r="206" spans="1:46">
      <c r="A206" s="8"/>
      <c r="B206" s="257"/>
      <c r="C206" s="298"/>
      <c r="G206" s="242"/>
      <c r="H206" s="242"/>
      <c r="J206" s="242"/>
      <c r="K206" s="242"/>
      <c r="L206" s="242"/>
      <c r="M206" s="242"/>
      <c r="N206" s="242"/>
      <c r="O206" s="242"/>
      <c r="U206" s="242"/>
      <c r="V206" s="242"/>
      <c r="W206" s="242"/>
      <c r="X206" s="242"/>
      <c r="Y206" s="242"/>
      <c r="Z206" s="242"/>
      <c r="AA206" s="242"/>
      <c r="AB206" s="242"/>
      <c r="AC206" s="242"/>
      <c r="AD206" s="242"/>
    </row>
    <row r="207" spans="1:46">
      <c r="A207" s="8" t="s">
        <v>129</v>
      </c>
      <c r="B207" s="300" t="s">
        <v>130</v>
      </c>
      <c r="C207" s="298">
        <v>86.7</v>
      </c>
      <c r="G207" s="242"/>
      <c r="H207" s="242"/>
      <c r="J207" s="242"/>
      <c r="K207" s="242"/>
      <c r="L207" s="242"/>
      <c r="M207" s="242"/>
      <c r="N207" s="242"/>
      <c r="O207" s="242"/>
      <c r="U207" s="242"/>
      <c r="V207" s="242"/>
      <c r="W207" s="242"/>
      <c r="X207" s="242"/>
      <c r="Y207" s="242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2"/>
      <c r="AK207" s="242"/>
      <c r="AL207" s="242"/>
      <c r="AM207" s="242"/>
      <c r="AN207" s="242"/>
      <c r="AO207" s="242"/>
      <c r="AP207" s="242"/>
      <c r="AQ207" s="242"/>
      <c r="AR207" s="242"/>
      <c r="AS207" s="242"/>
      <c r="AT207" s="242"/>
    </row>
    <row r="208" spans="1:46">
      <c r="A208" s="8" t="s">
        <v>131</v>
      </c>
      <c r="B208" s="257" t="s">
        <v>132</v>
      </c>
      <c r="C208" s="298">
        <v>48.5</v>
      </c>
      <c r="G208" s="242"/>
      <c r="H208" s="242"/>
      <c r="J208" s="242"/>
      <c r="K208" s="242"/>
      <c r="L208" s="242"/>
      <c r="M208" s="242"/>
      <c r="N208" s="242"/>
      <c r="O208" s="242"/>
      <c r="U208" s="242"/>
      <c r="V208" s="242"/>
      <c r="W208" s="242"/>
      <c r="X208" s="242"/>
      <c r="Y208" s="242"/>
      <c r="Z208" s="242"/>
      <c r="AA208" s="242"/>
      <c r="AB208" s="242"/>
      <c r="AC208" s="242"/>
      <c r="AD208" s="242"/>
    </row>
    <row r="209" spans="1:86">
      <c r="A209" s="8" t="s">
        <v>133</v>
      </c>
      <c r="B209" s="300" t="s">
        <v>134</v>
      </c>
      <c r="C209" s="298">
        <v>205.4</v>
      </c>
      <c r="G209" s="242"/>
      <c r="H209" s="242"/>
      <c r="J209" s="242"/>
      <c r="K209" s="242"/>
      <c r="L209" s="242"/>
      <c r="M209" s="242"/>
      <c r="N209" s="242"/>
      <c r="O209" s="242"/>
      <c r="U209" s="242"/>
      <c r="V209" s="242"/>
      <c r="W209" s="242"/>
      <c r="X209" s="242"/>
      <c r="Y209" s="242"/>
      <c r="Z209" s="242"/>
      <c r="AA209" s="242"/>
      <c r="AB209" s="242"/>
      <c r="AC209" s="242"/>
      <c r="AD209" s="242"/>
    </row>
    <row r="210" spans="1:86">
      <c r="A210" s="8" t="s">
        <v>135</v>
      </c>
      <c r="B210" s="300" t="s">
        <v>136</v>
      </c>
      <c r="C210" s="298">
        <v>34.9</v>
      </c>
      <c r="G210" s="242"/>
      <c r="H210" s="242"/>
      <c r="J210" s="242"/>
      <c r="K210" s="242"/>
      <c r="L210" s="242"/>
      <c r="M210" s="242"/>
      <c r="N210" s="242"/>
      <c r="O210" s="242"/>
      <c r="U210" s="242"/>
      <c r="V210" s="242"/>
      <c r="W210" s="242"/>
      <c r="X210" s="242"/>
      <c r="Y210" s="242"/>
      <c r="Z210" s="242"/>
      <c r="AA210" s="242"/>
      <c r="AB210" s="242"/>
      <c r="AC210" s="242"/>
      <c r="AD210" s="242"/>
    </row>
    <row r="211" spans="1:86">
      <c r="A211" s="8" t="s">
        <v>137</v>
      </c>
      <c r="B211" s="300" t="s">
        <v>138</v>
      </c>
      <c r="C211" s="298">
        <v>64.900000000000006</v>
      </c>
      <c r="G211" s="242"/>
      <c r="H211" s="242"/>
      <c r="J211" s="242"/>
      <c r="K211" s="242"/>
      <c r="L211" s="242"/>
      <c r="M211" s="242"/>
      <c r="N211" s="242"/>
      <c r="O211" s="242"/>
      <c r="U211" s="242"/>
      <c r="V211" s="242"/>
      <c r="W211" s="242"/>
      <c r="X211" s="242"/>
      <c r="Y211" s="242"/>
      <c r="Z211" s="242"/>
      <c r="AA211" s="242"/>
      <c r="AB211" s="242"/>
      <c r="AC211" s="242"/>
      <c r="AD211" s="242"/>
    </row>
    <row r="212" spans="1:86">
      <c r="A212" s="8" t="s">
        <v>139</v>
      </c>
      <c r="B212" s="300" t="s">
        <v>140</v>
      </c>
      <c r="C212" s="298">
        <v>86</v>
      </c>
      <c r="G212" s="242"/>
      <c r="H212" s="242"/>
      <c r="J212" s="242"/>
      <c r="K212" s="242"/>
      <c r="L212" s="242"/>
      <c r="M212" s="242"/>
      <c r="N212" s="242"/>
      <c r="O212" s="242"/>
      <c r="U212" s="242"/>
      <c r="V212" s="242"/>
      <c r="W212" s="242"/>
      <c r="X212" s="242"/>
      <c r="Y212" s="242"/>
      <c r="Z212" s="242"/>
      <c r="AA212" s="242"/>
      <c r="AB212" s="242"/>
      <c r="AC212" s="242"/>
      <c r="AD212" s="242"/>
    </row>
    <row r="213" spans="1:86">
      <c r="A213" s="8" t="s">
        <v>141</v>
      </c>
      <c r="B213" s="300" t="s">
        <v>142</v>
      </c>
      <c r="C213" s="298">
        <v>245.7</v>
      </c>
      <c r="G213" s="242"/>
      <c r="H213" s="242"/>
      <c r="J213" s="242"/>
      <c r="K213" s="242"/>
      <c r="L213" s="242"/>
      <c r="M213" s="242"/>
      <c r="N213" s="242"/>
      <c r="O213" s="242"/>
      <c r="U213" s="242"/>
      <c r="V213" s="242"/>
      <c r="W213" s="242"/>
      <c r="X213" s="242"/>
      <c r="Y213" s="242"/>
      <c r="Z213" s="242"/>
      <c r="AA213" s="242"/>
      <c r="AB213" s="242"/>
      <c r="AC213" s="242"/>
      <c r="AD213" s="242"/>
    </row>
    <row r="214" spans="1:86">
      <c r="A214" s="8" t="s">
        <v>143</v>
      </c>
      <c r="B214" s="300" t="s">
        <v>144</v>
      </c>
      <c r="C214" s="298">
        <v>99.1</v>
      </c>
      <c r="G214" s="242"/>
      <c r="H214" s="242"/>
      <c r="J214" s="242"/>
      <c r="K214" s="242"/>
      <c r="L214" s="242"/>
      <c r="M214" s="242"/>
      <c r="N214" s="242"/>
      <c r="O214" s="242"/>
      <c r="U214" s="242"/>
      <c r="V214" s="242"/>
      <c r="W214" s="242"/>
      <c r="X214" s="242"/>
      <c r="Y214" s="242"/>
      <c r="Z214" s="242"/>
      <c r="AA214" s="242"/>
      <c r="AB214" s="242"/>
      <c r="AC214" s="242"/>
      <c r="AD214" s="242"/>
    </row>
    <row r="215" spans="1:86">
      <c r="A215" s="8" t="s">
        <v>145</v>
      </c>
      <c r="B215" s="300" t="s">
        <v>146</v>
      </c>
      <c r="C215" s="298">
        <v>0</v>
      </c>
      <c r="D215" s="68" t="s">
        <v>147</v>
      </c>
      <c r="G215" s="242"/>
      <c r="H215" s="242"/>
      <c r="J215" s="242"/>
      <c r="K215" s="242"/>
      <c r="L215" s="242"/>
      <c r="M215" s="242"/>
      <c r="N215" s="242"/>
      <c r="O215" s="242"/>
      <c r="U215" s="242"/>
      <c r="V215" s="242"/>
      <c r="W215" s="242"/>
      <c r="X215" s="242"/>
      <c r="Y215" s="242"/>
      <c r="Z215" s="242"/>
      <c r="AA215" s="242"/>
      <c r="AB215" s="242"/>
      <c r="AC215" s="242"/>
      <c r="AD215" s="242"/>
    </row>
    <row r="216" spans="1:86">
      <c r="A216" s="8" t="s">
        <v>148</v>
      </c>
      <c r="B216" s="300" t="s">
        <v>149</v>
      </c>
      <c r="C216" s="298">
        <v>109.1</v>
      </c>
      <c r="G216" s="242"/>
      <c r="H216" s="242"/>
      <c r="J216" s="242"/>
      <c r="K216" s="242"/>
      <c r="L216" s="242"/>
      <c r="M216" s="242"/>
      <c r="N216" s="242"/>
      <c r="O216" s="242"/>
      <c r="U216" s="242"/>
      <c r="V216" s="242"/>
      <c r="W216" s="242"/>
      <c r="X216" s="242"/>
      <c r="Y216" s="242"/>
      <c r="Z216" s="242"/>
      <c r="AA216" s="242"/>
      <c r="AB216" s="242"/>
      <c r="AC216" s="242"/>
      <c r="AD216" s="242"/>
    </row>
    <row r="217" spans="1:86">
      <c r="A217" s="8" t="s">
        <v>150</v>
      </c>
      <c r="B217" s="300" t="s">
        <v>151</v>
      </c>
      <c r="C217" s="298">
        <v>96.5</v>
      </c>
      <c r="G217" s="242"/>
      <c r="H217" s="242"/>
      <c r="J217" s="242"/>
      <c r="K217" s="242"/>
      <c r="L217" s="242"/>
      <c r="M217" s="242"/>
      <c r="N217" s="242"/>
      <c r="O217" s="242"/>
      <c r="U217" s="242"/>
      <c r="V217" s="242"/>
      <c r="W217" s="242"/>
      <c r="X217" s="242"/>
      <c r="Y217" s="242"/>
      <c r="Z217" s="242"/>
      <c r="AA217" s="242"/>
      <c r="AB217" s="242"/>
      <c r="AC217" s="242"/>
      <c r="AD217" s="242"/>
    </row>
    <row r="218" spans="1:86">
      <c r="A218" s="8" t="s">
        <v>152</v>
      </c>
      <c r="B218" s="300" t="s">
        <v>153</v>
      </c>
      <c r="C218" s="298"/>
      <c r="D218" s="68" t="s">
        <v>154</v>
      </c>
      <c r="G218" s="242"/>
      <c r="H218" s="242"/>
      <c r="J218" s="242"/>
      <c r="K218" s="242"/>
      <c r="L218" s="242"/>
      <c r="M218" s="242"/>
      <c r="N218" s="242"/>
      <c r="O218" s="242"/>
      <c r="U218" s="242"/>
      <c r="V218" s="242"/>
      <c r="W218" s="242"/>
      <c r="X218" s="242"/>
      <c r="Y218" s="242"/>
      <c r="Z218" s="242"/>
      <c r="AA218" s="242"/>
      <c r="AB218" s="242"/>
      <c r="AC218" s="242"/>
      <c r="AD218" s="242"/>
    </row>
    <row r="219" spans="1:86">
      <c r="A219" s="8" t="s">
        <v>155</v>
      </c>
      <c r="B219" s="300" t="s">
        <v>156</v>
      </c>
      <c r="C219" s="298"/>
      <c r="D219" s="68" t="s">
        <v>157</v>
      </c>
      <c r="G219" s="242"/>
      <c r="H219" s="242"/>
      <c r="J219" s="242"/>
      <c r="K219" s="242"/>
      <c r="L219" s="242"/>
      <c r="M219" s="242"/>
      <c r="N219" s="242"/>
      <c r="O219" s="242"/>
      <c r="U219" s="242"/>
      <c r="V219" s="242"/>
      <c r="W219" s="242"/>
      <c r="X219" s="242"/>
      <c r="Y219" s="242"/>
      <c r="Z219" s="242"/>
      <c r="AA219" s="242"/>
      <c r="AB219" s="242"/>
      <c r="AC219" s="242"/>
      <c r="AD219" s="242"/>
    </row>
    <row r="220" spans="1:86">
      <c r="A220" s="8" t="s">
        <v>158</v>
      </c>
      <c r="B220" s="300" t="s">
        <v>159</v>
      </c>
      <c r="C220" s="298">
        <v>133</v>
      </c>
      <c r="G220" s="242"/>
      <c r="H220" s="242"/>
      <c r="J220" s="242"/>
      <c r="K220" s="242"/>
      <c r="L220" s="242"/>
      <c r="M220" s="242"/>
      <c r="N220" s="242"/>
      <c r="O220" s="242"/>
      <c r="U220" s="242"/>
      <c r="V220" s="242"/>
      <c r="W220" s="242"/>
      <c r="X220" s="242"/>
      <c r="Y220" s="242"/>
      <c r="Z220" s="242"/>
      <c r="AA220" s="242"/>
      <c r="AB220" s="242"/>
      <c r="AC220" s="242"/>
      <c r="AD220" s="242"/>
    </row>
    <row r="221" spans="1:86">
      <c r="A221" s="8" t="s">
        <v>160</v>
      </c>
      <c r="B221" s="300" t="s">
        <v>161</v>
      </c>
      <c r="C221" s="298">
        <v>48.6</v>
      </c>
      <c r="G221" s="242"/>
      <c r="H221" s="242"/>
      <c r="J221" s="242"/>
      <c r="K221" s="242"/>
      <c r="L221" s="242"/>
      <c r="M221" s="242"/>
      <c r="N221" s="242"/>
      <c r="O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</row>
    <row r="222" spans="1:86" s="6" customFormat="1">
      <c r="A222" s="8" t="s">
        <v>162</v>
      </c>
      <c r="B222" s="257" t="s">
        <v>163</v>
      </c>
      <c r="C222" s="298">
        <v>87.7</v>
      </c>
      <c r="D222" s="68"/>
      <c r="E222" s="68"/>
      <c r="F222" s="68"/>
      <c r="G222" s="290"/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179"/>
      <c r="AF222" s="179"/>
      <c r="AG222" s="179"/>
      <c r="AH222" s="179"/>
      <c r="AI222" s="179"/>
      <c r="AJ222" s="179"/>
      <c r="AK222" s="179"/>
      <c r="AL222" s="179"/>
      <c r="AM222" s="179"/>
      <c r="AN222" s="179"/>
      <c r="AO222" s="179"/>
      <c r="AP222" s="179"/>
      <c r="AQ222" s="179"/>
      <c r="AR222" s="179"/>
      <c r="AS222" s="179"/>
      <c r="AT222" s="179"/>
      <c r="AU222" s="179"/>
      <c r="AV222" s="179"/>
      <c r="AW222" s="179"/>
      <c r="AX222" s="179"/>
      <c r="AY222" s="179"/>
      <c r="AZ222" s="179"/>
      <c r="BA222" s="179"/>
      <c r="BB222" s="179"/>
      <c r="BC222" s="179"/>
      <c r="BD222" s="179"/>
      <c r="BE222" s="179"/>
      <c r="BF222" s="179"/>
      <c r="BG222" s="179"/>
      <c r="BH222" s="179"/>
      <c r="BI222" s="179"/>
      <c r="BJ222" s="179"/>
      <c r="BK222" s="179"/>
      <c r="BL222" s="179"/>
      <c r="BM222" s="179"/>
      <c r="BN222" s="179"/>
      <c r="BO222" s="179"/>
      <c r="BP222" s="179"/>
      <c r="BQ222" s="179"/>
      <c r="BR222" s="179"/>
      <c r="BS222" s="179"/>
      <c r="BT222" s="179"/>
      <c r="BU222" s="179"/>
      <c r="BV222" s="179"/>
      <c r="BW222" s="179"/>
      <c r="BX222" s="179"/>
      <c r="BY222" s="179"/>
      <c r="BZ222" s="179"/>
      <c r="CA222" s="179"/>
      <c r="CB222" s="179"/>
      <c r="CC222" s="179"/>
      <c r="CD222" s="179"/>
      <c r="CE222" s="179"/>
      <c r="CF222" s="179"/>
      <c r="CG222" s="179"/>
      <c r="CH222" s="179"/>
    </row>
    <row r="223" spans="1:86">
      <c r="A223" s="9" t="s">
        <v>164</v>
      </c>
      <c r="B223" s="301" t="s">
        <v>165</v>
      </c>
      <c r="C223" s="299">
        <v>70.3</v>
      </c>
      <c r="G223" s="242"/>
      <c r="H223" s="242"/>
      <c r="J223" s="242"/>
      <c r="K223" s="242"/>
      <c r="L223" s="242"/>
      <c r="M223" s="242"/>
      <c r="N223" s="242"/>
      <c r="O223" s="242"/>
      <c r="U223" s="242"/>
      <c r="V223" s="242"/>
      <c r="W223" s="242"/>
      <c r="X223" s="242"/>
      <c r="Y223" s="242"/>
      <c r="Z223" s="242"/>
      <c r="AA223" s="242"/>
      <c r="AB223" s="242"/>
      <c r="AC223" s="242"/>
      <c r="AD223" s="242"/>
    </row>
    <row r="224" spans="1:86">
      <c r="A224" s="8"/>
      <c r="B224" s="191" t="s">
        <v>128</v>
      </c>
      <c r="C224" s="298">
        <f>SUM(C207:C223)</f>
        <v>1416.3999999999999</v>
      </c>
      <c r="G224" s="242"/>
      <c r="H224" s="242"/>
      <c r="J224" s="242"/>
      <c r="K224" s="242"/>
      <c r="L224" s="242"/>
      <c r="M224" s="242"/>
      <c r="N224" s="242"/>
      <c r="O224" s="242"/>
      <c r="U224" s="242"/>
      <c r="V224" s="242"/>
      <c r="W224" s="242"/>
      <c r="X224" s="242"/>
      <c r="Y224" s="242"/>
      <c r="Z224" s="242"/>
      <c r="AA224" s="242"/>
      <c r="AB224" s="242"/>
      <c r="AC224" s="242"/>
      <c r="AD224" s="242"/>
    </row>
    <row r="225" spans="2:30" ht="13.8" thickBot="1">
      <c r="B225" s="242"/>
      <c r="C225" s="298"/>
      <c r="G225" s="242"/>
      <c r="H225" s="242"/>
      <c r="J225" s="242"/>
      <c r="K225" s="242"/>
      <c r="L225" s="242"/>
      <c r="M225" s="242"/>
      <c r="N225" s="242"/>
      <c r="O225" s="242"/>
      <c r="U225" s="242"/>
      <c r="V225" s="242"/>
      <c r="W225" s="242"/>
      <c r="X225" s="242"/>
      <c r="Y225" s="242"/>
      <c r="Z225" s="242"/>
      <c r="AA225" s="242"/>
      <c r="AB225" s="242"/>
      <c r="AC225" s="242"/>
      <c r="AD225" s="242"/>
    </row>
    <row r="226" spans="2:30" ht="13.8" thickTop="1">
      <c r="B226" s="302" t="s">
        <v>166</v>
      </c>
      <c r="C226" s="303">
        <f>SUM(C205,C224)</f>
        <v>2940.5</v>
      </c>
      <c r="D226" s="68" t="s">
        <v>167</v>
      </c>
      <c r="G226" s="242"/>
      <c r="H226" s="242"/>
      <c r="J226" s="242"/>
      <c r="K226" s="242"/>
      <c r="L226" s="242"/>
      <c r="M226" s="242"/>
      <c r="N226" s="242"/>
      <c r="O226" s="242"/>
      <c r="U226" s="242"/>
      <c r="V226" s="242"/>
      <c r="W226" s="242"/>
      <c r="X226" s="242"/>
      <c r="Y226" s="242"/>
      <c r="Z226" s="242"/>
      <c r="AA226" s="242"/>
      <c r="AB226" s="242"/>
      <c r="AC226" s="242"/>
      <c r="AD226" s="242"/>
    </row>
    <row r="227" spans="2:30">
      <c r="B227" s="242"/>
      <c r="C227" s="242"/>
      <c r="G227" s="242"/>
      <c r="H227" s="242"/>
      <c r="J227" s="242"/>
      <c r="K227" s="242"/>
      <c r="L227" s="242"/>
      <c r="M227" s="242"/>
      <c r="N227" s="242"/>
      <c r="O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</row>
    <row r="228" spans="2:30">
      <c r="B228" s="242"/>
      <c r="C228" s="242"/>
      <c r="D228" s="242"/>
      <c r="G228" s="242"/>
      <c r="H228" s="242"/>
      <c r="J228" s="242"/>
      <c r="K228" s="242"/>
      <c r="L228" s="242"/>
      <c r="M228" s="242"/>
      <c r="N228" s="242"/>
      <c r="O228" s="242"/>
      <c r="U228" s="242"/>
      <c r="V228" s="242"/>
      <c r="W228" s="242"/>
      <c r="X228" s="242"/>
      <c r="Y228" s="242"/>
      <c r="Z228" s="242"/>
      <c r="AA228" s="242"/>
      <c r="AB228" s="242"/>
      <c r="AC228" s="242"/>
      <c r="AD228" s="242"/>
    </row>
    <row r="229" spans="2:30">
      <c r="B229" s="242"/>
      <c r="C229" s="242"/>
      <c r="D229" s="242"/>
      <c r="G229" s="242"/>
      <c r="H229" s="242"/>
      <c r="J229" s="242"/>
      <c r="K229" s="242"/>
      <c r="L229" s="242"/>
      <c r="M229" s="242"/>
      <c r="N229" s="242"/>
      <c r="O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</row>
    <row r="230" spans="2:30">
      <c r="B230" s="242"/>
      <c r="C230" s="242"/>
      <c r="D230" s="242"/>
      <c r="G230" s="242"/>
      <c r="H230" s="242"/>
      <c r="J230" s="242"/>
      <c r="K230" s="242"/>
      <c r="L230" s="242"/>
      <c r="M230" s="242"/>
      <c r="N230" s="242"/>
      <c r="O230" s="242"/>
      <c r="U230" s="242"/>
      <c r="V230" s="242"/>
      <c r="W230" s="242"/>
      <c r="X230" s="242"/>
      <c r="Y230" s="242"/>
      <c r="Z230" s="242"/>
      <c r="AA230" s="242"/>
      <c r="AB230" s="242"/>
      <c r="AC230" s="242"/>
      <c r="AD230" s="242"/>
    </row>
    <row r="231" spans="2:30">
      <c r="B231" s="242"/>
      <c r="C231" s="242"/>
      <c r="D231" s="242"/>
      <c r="G231" s="242"/>
      <c r="H231" s="242"/>
      <c r="J231" s="242"/>
      <c r="K231" s="242"/>
      <c r="L231" s="242"/>
      <c r="M231" s="242"/>
      <c r="N231" s="242"/>
      <c r="O231" s="242"/>
      <c r="U231" s="242"/>
      <c r="V231" s="242"/>
      <c r="W231" s="242"/>
      <c r="X231" s="242"/>
      <c r="Y231" s="242"/>
      <c r="Z231" s="242"/>
      <c r="AA231" s="242"/>
      <c r="AB231" s="242"/>
      <c r="AC231" s="242"/>
      <c r="AD231" s="242"/>
    </row>
    <row r="232" spans="2:30">
      <c r="B232" s="242"/>
      <c r="C232" s="242"/>
      <c r="D232" s="242"/>
      <c r="G232" s="242"/>
      <c r="H232" s="242"/>
      <c r="J232" s="242"/>
      <c r="K232" s="242"/>
      <c r="L232" s="242"/>
      <c r="M232" s="242"/>
      <c r="N232" s="242"/>
      <c r="O232" s="242"/>
      <c r="U232" s="242"/>
      <c r="V232" s="242"/>
      <c r="W232" s="242"/>
      <c r="X232" s="242"/>
      <c r="Y232" s="242"/>
      <c r="Z232" s="242"/>
      <c r="AA232" s="242"/>
      <c r="AB232" s="242"/>
      <c r="AC232" s="242"/>
      <c r="AD232" s="242"/>
    </row>
    <row r="233" spans="2:30">
      <c r="B233" s="242"/>
      <c r="C233" s="242"/>
      <c r="D233" s="242"/>
      <c r="G233" s="242"/>
      <c r="H233" s="242"/>
      <c r="J233" s="242"/>
      <c r="K233" s="242"/>
      <c r="L233" s="242"/>
      <c r="M233" s="242"/>
      <c r="N233" s="242"/>
      <c r="O233" s="242"/>
      <c r="U233" s="242"/>
      <c r="V233" s="242"/>
      <c r="W233" s="242"/>
      <c r="X233" s="242"/>
      <c r="Y233" s="242"/>
      <c r="Z233" s="242"/>
      <c r="AA233" s="242"/>
      <c r="AB233" s="242"/>
      <c r="AC233" s="242"/>
      <c r="AD233" s="242"/>
    </row>
    <row r="234" spans="2:30">
      <c r="B234" s="242"/>
      <c r="C234" s="242"/>
      <c r="D234" s="242"/>
      <c r="G234" s="242"/>
      <c r="H234" s="242"/>
      <c r="J234" s="242"/>
      <c r="K234" s="242"/>
      <c r="L234" s="242"/>
      <c r="M234" s="242"/>
      <c r="N234" s="242"/>
      <c r="O234" s="242"/>
      <c r="U234" s="242"/>
      <c r="V234" s="242"/>
      <c r="W234" s="242"/>
      <c r="X234" s="242"/>
      <c r="Y234" s="242"/>
      <c r="Z234" s="242"/>
      <c r="AA234" s="242"/>
      <c r="AB234" s="242"/>
      <c r="AC234" s="242"/>
      <c r="AD234" s="242"/>
    </row>
    <row r="235" spans="2:30">
      <c r="B235" s="242"/>
      <c r="C235" s="242"/>
      <c r="D235" s="242"/>
      <c r="G235" s="242"/>
      <c r="H235" s="242"/>
      <c r="J235" s="242"/>
      <c r="K235" s="242"/>
      <c r="L235" s="242"/>
      <c r="M235" s="242"/>
      <c r="N235" s="242"/>
      <c r="O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</row>
    <row r="236" spans="2:30">
      <c r="B236" s="242"/>
      <c r="C236" s="242"/>
      <c r="D236" s="242"/>
      <c r="G236" s="242"/>
      <c r="H236" s="242"/>
      <c r="J236" s="242"/>
      <c r="K236" s="242"/>
      <c r="L236" s="242"/>
      <c r="M236" s="242"/>
      <c r="N236" s="242"/>
      <c r="O236" s="242"/>
      <c r="U236" s="242"/>
      <c r="V236" s="242"/>
      <c r="W236" s="242"/>
      <c r="X236" s="242"/>
      <c r="Y236" s="242"/>
      <c r="Z236" s="242"/>
      <c r="AA236" s="242"/>
      <c r="AB236" s="242"/>
      <c r="AC236" s="242"/>
      <c r="AD236" s="242"/>
    </row>
    <row r="237" spans="2:30">
      <c r="B237" s="242"/>
      <c r="C237" s="242"/>
      <c r="D237" s="242"/>
      <c r="G237" s="242"/>
      <c r="H237" s="242"/>
      <c r="J237" s="242"/>
      <c r="K237" s="242"/>
      <c r="L237" s="242"/>
      <c r="M237" s="242"/>
      <c r="N237" s="242"/>
      <c r="O237" s="242"/>
      <c r="U237" s="242"/>
      <c r="V237" s="242"/>
      <c r="W237" s="242"/>
      <c r="X237" s="242"/>
      <c r="Y237" s="242"/>
      <c r="Z237" s="242"/>
      <c r="AA237" s="242"/>
      <c r="AB237" s="242"/>
      <c r="AC237" s="242"/>
      <c r="AD237" s="242"/>
    </row>
    <row r="238" spans="2:30">
      <c r="B238" s="242"/>
      <c r="C238" s="242"/>
      <c r="D238" s="242"/>
      <c r="G238" s="242"/>
      <c r="H238" s="242"/>
      <c r="J238" s="242"/>
      <c r="K238" s="242"/>
      <c r="L238" s="242"/>
      <c r="M238" s="242"/>
      <c r="N238" s="242"/>
      <c r="O238" s="242"/>
      <c r="U238" s="242"/>
      <c r="V238" s="242"/>
      <c r="W238" s="242"/>
      <c r="X238" s="242"/>
      <c r="Y238" s="242"/>
      <c r="Z238" s="242"/>
      <c r="AA238" s="242"/>
      <c r="AB238" s="242"/>
      <c r="AC238" s="242"/>
      <c r="AD238" s="242"/>
    </row>
    <row r="239" spans="2:30">
      <c r="B239" s="242"/>
      <c r="C239" s="242"/>
      <c r="D239" s="242"/>
      <c r="G239" s="242"/>
      <c r="H239" s="242"/>
      <c r="J239" s="242"/>
      <c r="K239" s="242"/>
      <c r="L239" s="242"/>
      <c r="M239" s="242"/>
      <c r="N239" s="242"/>
      <c r="O239" s="242"/>
      <c r="U239" s="242"/>
      <c r="V239" s="242"/>
      <c r="W239" s="242"/>
      <c r="X239" s="242"/>
      <c r="Y239" s="242"/>
      <c r="Z239" s="242"/>
      <c r="AA239" s="242"/>
      <c r="AB239" s="242"/>
      <c r="AC239" s="242"/>
      <c r="AD239" s="242"/>
    </row>
    <row r="240" spans="2:30">
      <c r="B240" s="242"/>
      <c r="C240" s="242"/>
      <c r="D240" s="242"/>
      <c r="G240" s="242"/>
      <c r="H240" s="242"/>
      <c r="J240" s="242"/>
      <c r="K240" s="242"/>
      <c r="L240" s="242"/>
      <c r="M240" s="242"/>
      <c r="N240" s="242"/>
      <c r="O240" s="242"/>
      <c r="U240" s="242"/>
      <c r="V240" s="242"/>
      <c r="W240" s="242"/>
      <c r="X240" s="242"/>
      <c r="Y240" s="242"/>
      <c r="Z240" s="242"/>
      <c r="AA240" s="242"/>
      <c r="AB240" s="242"/>
      <c r="AC240" s="242"/>
      <c r="AD240" s="242"/>
    </row>
    <row r="241" spans="2:30">
      <c r="B241" s="242"/>
      <c r="C241" s="242"/>
      <c r="D241" s="242"/>
      <c r="G241" s="242"/>
      <c r="H241" s="242"/>
      <c r="J241" s="242"/>
      <c r="K241" s="242"/>
      <c r="L241" s="242"/>
      <c r="M241" s="242"/>
      <c r="N241" s="242"/>
      <c r="O241" s="242"/>
      <c r="U241" s="242"/>
      <c r="V241" s="242"/>
      <c r="W241" s="242"/>
      <c r="X241" s="242"/>
      <c r="Y241" s="242"/>
      <c r="Z241" s="242"/>
      <c r="AA241" s="242"/>
      <c r="AB241" s="242"/>
      <c r="AC241" s="242"/>
      <c r="AD241" s="242"/>
    </row>
    <row r="242" spans="2:30">
      <c r="B242" s="242"/>
      <c r="C242" s="242"/>
      <c r="D242" s="242"/>
      <c r="G242" s="242"/>
      <c r="H242" s="242"/>
      <c r="J242" s="242"/>
      <c r="K242" s="242"/>
      <c r="L242" s="242"/>
      <c r="M242" s="242"/>
      <c r="N242" s="242"/>
      <c r="O242" s="242"/>
      <c r="U242" s="242"/>
      <c r="V242" s="242"/>
      <c r="W242" s="242"/>
      <c r="X242" s="242"/>
      <c r="Y242" s="242"/>
      <c r="Z242" s="242"/>
      <c r="AA242" s="242"/>
      <c r="AB242" s="242"/>
      <c r="AC242" s="242"/>
      <c r="AD242" s="242"/>
    </row>
    <row r="243" spans="2:30">
      <c r="B243" s="242"/>
      <c r="C243" s="242"/>
      <c r="D243" s="242"/>
      <c r="G243" s="242"/>
      <c r="H243" s="242"/>
      <c r="J243" s="242"/>
      <c r="K243" s="242"/>
      <c r="L243" s="242"/>
      <c r="M243" s="242"/>
      <c r="N243" s="242"/>
      <c r="O243" s="242"/>
      <c r="U243" s="242"/>
      <c r="V243" s="242"/>
      <c r="W243" s="242"/>
      <c r="X243" s="242"/>
      <c r="Y243" s="242"/>
      <c r="Z243" s="242"/>
      <c r="AA243" s="242"/>
      <c r="AB243" s="242"/>
      <c r="AC243" s="242"/>
      <c r="AD243" s="242"/>
    </row>
    <row r="244" spans="2:30">
      <c r="B244" s="242"/>
      <c r="C244" s="242"/>
      <c r="D244" s="242"/>
      <c r="G244" s="242"/>
      <c r="H244" s="242"/>
      <c r="J244" s="242"/>
      <c r="K244" s="242"/>
      <c r="L244" s="242"/>
      <c r="M244" s="242"/>
      <c r="N244" s="242"/>
      <c r="O244" s="242"/>
      <c r="U244" s="242"/>
      <c r="V244" s="242"/>
      <c r="W244" s="242"/>
      <c r="X244" s="242"/>
      <c r="Y244" s="242"/>
      <c r="Z244" s="242"/>
      <c r="AA244" s="242"/>
      <c r="AB244" s="242"/>
      <c r="AC244" s="242"/>
      <c r="AD244" s="242"/>
    </row>
    <row r="245" spans="2:30">
      <c r="B245" s="242"/>
      <c r="C245" s="242"/>
      <c r="D245" s="242"/>
      <c r="G245" s="242"/>
      <c r="H245" s="242"/>
      <c r="J245" s="242"/>
      <c r="K245" s="242"/>
      <c r="L245" s="242"/>
      <c r="M245" s="242"/>
      <c r="N245" s="242"/>
      <c r="O245" s="242"/>
      <c r="U245" s="242"/>
      <c r="V245" s="242"/>
      <c r="W245" s="242"/>
      <c r="X245" s="242"/>
      <c r="Y245" s="242"/>
      <c r="Z245" s="242"/>
      <c r="AA245" s="242"/>
      <c r="AB245" s="242"/>
      <c r="AC245" s="242"/>
      <c r="AD245" s="242"/>
    </row>
    <row r="246" spans="2:30">
      <c r="B246" s="242"/>
      <c r="C246" s="242"/>
      <c r="D246" s="242"/>
      <c r="G246" s="242"/>
      <c r="H246" s="242"/>
      <c r="J246" s="242"/>
      <c r="K246" s="242"/>
      <c r="L246" s="242"/>
      <c r="M246" s="242"/>
      <c r="N246" s="242"/>
      <c r="O246" s="242"/>
      <c r="U246" s="242"/>
      <c r="V246" s="242"/>
      <c r="W246" s="242"/>
      <c r="X246" s="242"/>
      <c r="Y246" s="242"/>
      <c r="Z246" s="242"/>
      <c r="AA246" s="242"/>
      <c r="AB246" s="242"/>
      <c r="AC246" s="242"/>
      <c r="AD246" s="242"/>
    </row>
    <row r="247" spans="2:30">
      <c r="B247" s="242"/>
      <c r="C247" s="242"/>
      <c r="D247" s="242"/>
      <c r="G247" s="242"/>
      <c r="H247" s="242"/>
      <c r="J247" s="242"/>
      <c r="K247" s="242"/>
      <c r="L247" s="242"/>
      <c r="M247" s="242"/>
      <c r="N247" s="242"/>
      <c r="O247" s="242"/>
      <c r="U247" s="242"/>
      <c r="V247" s="242"/>
      <c r="W247" s="242"/>
      <c r="X247" s="242"/>
      <c r="Y247" s="242"/>
      <c r="Z247" s="242"/>
      <c r="AA247" s="242"/>
      <c r="AB247" s="242"/>
      <c r="AC247" s="242"/>
      <c r="AD247" s="242"/>
    </row>
    <row r="248" spans="2:30">
      <c r="B248" s="242"/>
      <c r="C248" s="242"/>
      <c r="D248" s="242"/>
      <c r="G248" s="242"/>
      <c r="H248" s="242"/>
      <c r="J248" s="242"/>
      <c r="K248" s="242"/>
      <c r="L248" s="242"/>
      <c r="M248" s="242"/>
      <c r="N248" s="242"/>
      <c r="O248" s="242"/>
      <c r="U248" s="242"/>
      <c r="V248" s="242"/>
      <c r="W248" s="242"/>
      <c r="X248" s="242"/>
      <c r="Y248" s="242"/>
      <c r="Z248" s="242"/>
      <c r="AA248" s="242"/>
      <c r="AB248" s="242"/>
      <c r="AC248" s="242"/>
      <c r="AD248" s="242"/>
    </row>
    <row r="249" spans="2:30">
      <c r="B249" s="242"/>
      <c r="C249" s="242"/>
      <c r="D249" s="242"/>
      <c r="G249" s="242"/>
      <c r="H249" s="242"/>
      <c r="J249" s="242"/>
      <c r="K249" s="242"/>
      <c r="L249" s="242"/>
      <c r="M249" s="242"/>
      <c r="N249" s="242"/>
      <c r="O249" s="242"/>
      <c r="U249" s="242"/>
      <c r="V249" s="242"/>
      <c r="W249" s="242"/>
      <c r="X249" s="242"/>
      <c r="Y249" s="242"/>
      <c r="Z249" s="242"/>
      <c r="AA249" s="242"/>
      <c r="AB249" s="242"/>
      <c r="AC249" s="242"/>
      <c r="AD249" s="242"/>
    </row>
    <row r="250" spans="2:30">
      <c r="B250" s="242"/>
      <c r="C250" s="242"/>
      <c r="D250" s="242"/>
      <c r="G250" s="242"/>
      <c r="H250" s="242"/>
      <c r="J250" s="242"/>
      <c r="K250" s="242"/>
      <c r="L250" s="242"/>
      <c r="M250" s="242"/>
      <c r="N250" s="242"/>
      <c r="O250" s="242"/>
      <c r="U250" s="242"/>
      <c r="V250" s="242"/>
      <c r="W250" s="242"/>
      <c r="X250" s="242"/>
      <c r="Y250" s="242"/>
      <c r="Z250" s="242"/>
      <c r="AA250" s="242"/>
      <c r="AB250" s="242"/>
      <c r="AC250" s="242"/>
      <c r="AD250" s="242"/>
    </row>
    <row r="251" spans="2:30">
      <c r="B251" s="242"/>
      <c r="C251" s="242"/>
      <c r="D251" s="242"/>
      <c r="G251" s="242"/>
      <c r="H251" s="242"/>
      <c r="J251" s="242"/>
      <c r="K251" s="242"/>
      <c r="L251" s="242"/>
      <c r="M251" s="242"/>
      <c r="N251" s="242"/>
      <c r="O251" s="242"/>
      <c r="U251" s="242"/>
      <c r="V251" s="242"/>
      <c r="W251" s="242"/>
      <c r="X251" s="242"/>
      <c r="Y251" s="242"/>
      <c r="Z251" s="242"/>
      <c r="AA251" s="242"/>
      <c r="AB251" s="242"/>
      <c r="AC251" s="242"/>
      <c r="AD251" s="242"/>
    </row>
    <row r="252" spans="2:30">
      <c r="B252" s="242"/>
      <c r="C252" s="242"/>
      <c r="D252" s="242"/>
      <c r="G252" s="242"/>
      <c r="H252" s="242"/>
      <c r="J252" s="242"/>
      <c r="K252" s="242"/>
      <c r="L252" s="242"/>
      <c r="M252" s="242"/>
      <c r="N252" s="242"/>
      <c r="O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</row>
    <row r="253" spans="2:30">
      <c r="B253" s="242"/>
      <c r="C253" s="242"/>
      <c r="D253" s="242"/>
      <c r="G253" s="242"/>
      <c r="H253" s="242"/>
      <c r="J253" s="242"/>
      <c r="K253" s="242"/>
      <c r="L253" s="242"/>
      <c r="M253" s="242"/>
      <c r="N253" s="242"/>
      <c r="O253" s="242"/>
      <c r="U253" s="242"/>
      <c r="V253" s="242"/>
      <c r="W253" s="242"/>
      <c r="X253" s="242"/>
      <c r="Y253" s="242"/>
      <c r="Z253" s="242"/>
      <c r="AA253" s="242"/>
      <c r="AB253" s="242"/>
      <c r="AC253" s="242"/>
      <c r="AD253" s="242"/>
    </row>
    <row r="254" spans="2:30">
      <c r="B254" s="242"/>
      <c r="C254" s="242"/>
      <c r="D254" s="242"/>
      <c r="G254" s="242"/>
      <c r="H254" s="242"/>
      <c r="J254" s="242"/>
      <c r="K254" s="242"/>
      <c r="L254" s="242"/>
      <c r="M254" s="242"/>
      <c r="N254" s="242"/>
      <c r="O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</row>
    <row r="255" spans="2:30">
      <c r="B255" s="242"/>
      <c r="C255" s="242"/>
      <c r="D255" s="242"/>
      <c r="G255" s="242"/>
      <c r="H255" s="242"/>
      <c r="J255" s="242"/>
      <c r="K255" s="242"/>
      <c r="L255" s="242"/>
      <c r="M255" s="242"/>
      <c r="N255" s="242"/>
      <c r="O255" s="242"/>
      <c r="U255" s="242"/>
      <c r="V255" s="242"/>
      <c r="W255" s="242"/>
      <c r="X255" s="242"/>
      <c r="Y255" s="242"/>
      <c r="Z255" s="242"/>
      <c r="AA255" s="242"/>
      <c r="AB255" s="242"/>
      <c r="AC255" s="242"/>
      <c r="AD255" s="242"/>
    </row>
    <row r="256" spans="2:30">
      <c r="B256" s="242"/>
      <c r="C256" s="242"/>
      <c r="D256" s="242"/>
      <c r="G256" s="242"/>
      <c r="H256" s="242"/>
      <c r="J256" s="242"/>
      <c r="K256" s="242"/>
      <c r="L256" s="242"/>
      <c r="M256" s="242"/>
      <c r="N256" s="242"/>
      <c r="O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</row>
    <row r="257" spans="2:30">
      <c r="B257" s="242"/>
      <c r="C257" s="242"/>
      <c r="D257" s="242"/>
      <c r="G257" s="242"/>
      <c r="H257" s="242"/>
      <c r="J257" s="242"/>
      <c r="K257" s="242"/>
      <c r="L257" s="242"/>
      <c r="M257" s="242"/>
      <c r="N257" s="242"/>
      <c r="O257" s="242"/>
      <c r="U257" s="242"/>
      <c r="V257" s="242"/>
      <c r="W257" s="242"/>
      <c r="X257" s="242"/>
      <c r="Y257" s="242"/>
      <c r="Z257" s="242"/>
      <c r="AA257" s="242"/>
      <c r="AB257" s="242"/>
      <c r="AC257" s="242"/>
      <c r="AD257" s="242"/>
    </row>
    <row r="258" spans="2:30">
      <c r="B258" s="242"/>
      <c r="C258" s="242"/>
      <c r="D258" s="242"/>
      <c r="E258" s="242"/>
      <c r="F258" s="242"/>
      <c r="G258" s="242"/>
      <c r="H258" s="242"/>
      <c r="J258" s="242"/>
      <c r="K258" s="242"/>
      <c r="L258" s="242"/>
      <c r="M258" s="242"/>
      <c r="N258" s="242"/>
      <c r="O258" s="242"/>
      <c r="U258" s="242"/>
      <c r="V258" s="242"/>
      <c r="W258" s="242"/>
      <c r="X258" s="242"/>
      <c r="Y258" s="242"/>
      <c r="Z258" s="242"/>
      <c r="AA258" s="242"/>
      <c r="AB258" s="242"/>
      <c r="AC258" s="242"/>
      <c r="AD258" s="242"/>
    </row>
    <row r="259" spans="2:30">
      <c r="B259" s="242"/>
      <c r="C259" s="242"/>
      <c r="D259" s="242"/>
      <c r="E259" s="242"/>
      <c r="F259" s="242"/>
      <c r="G259" s="242"/>
      <c r="H259" s="242"/>
      <c r="J259" s="242"/>
      <c r="K259" s="242"/>
      <c r="L259" s="242"/>
      <c r="M259" s="242"/>
      <c r="N259" s="242"/>
      <c r="O259" s="242"/>
      <c r="U259" s="242"/>
      <c r="V259" s="242"/>
      <c r="W259" s="242"/>
      <c r="X259" s="242"/>
      <c r="Y259" s="242"/>
      <c r="Z259" s="242"/>
      <c r="AA259" s="242"/>
      <c r="AB259" s="242"/>
      <c r="AC259" s="242"/>
      <c r="AD259" s="242"/>
    </row>
    <row r="260" spans="2:30">
      <c r="B260" s="242"/>
      <c r="C260" s="242"/>
      <c r="D260" s="242"/>
      <c r="E260" s="242"/>
      <c r="F260" s="242"/>
      <c r="G260" s="242"/>
      <c r="H260" s="242"/>
      <c r="J260" s="242"/>
      <c r="K260" s="242"/>
      <c r="L260" s="242"/>
      <c r="M260" s="242"/>
      <c r="N260" s="242"/>
      <c r="O260" s="242"/>
      <c r="U260" s="242"/>
      <c r="V260" s="242"/>
      <c r="W260" s="242"/>
      <c r="X260" s="242"/>
      <c r="Y260" s="242"/>
      <c r="Z260" s="242"/>
      <c r="AA260" s="242"/>
      <c r="AB260" s="242"/>
      <c r="AC260" s="242"/>
      <c r="AD260" s="242"/>
    </row>
    <row r="261" spans="2:30">
      <c r="B261" s="242"/>
      <c r="C261" s="242"/>
      <c r="D261" s="242"/>
      <c r="E261" s="242"/>
      <c r="F261" s="242"/>
      <c r="G261" s="242"/>
      <c r="H261" s="242"/>
      <c r="J261" s="242"/>
      <c r="K261" s="242"/>
      <c r="L261" s="242"/>
      <c r="M261" s="242"/>
      <c r="N261" s="242"/>
      <c r="O261" s="242"/>
      <c r="U261" s="242"/>
      <c r="V261" s="242"/>
      <c r="W261" s="242"/>
      <c r="X261" s="242"/>
      <c r="Y261" s="242"/>
      <c r="Z261" s="242"/>
      <c r="AA261" s="242"/>
      <c r="AB261" s="242"/>
      <c r="AC261" s="242"/>
      <c r="AD261" s="242"/>
    </row>
    <row r="262" spans="2:30">
      <c r="B262" s="242"/>
      <c r="C262" s="242"/>
      <c r="D262" s="242"/>
      <c r="E262" s="242"/>
      <c r="F262" s="242"/>
      <c r="G262" s="242"/>
      <c r="H262" s="242"/>
      <c r="J262" s="242"/>
      <c r="K262" s="242"/>
      <c r="L262" s="242"/>
      <c r="M262" s="242"/>
      <c r="N262" s="242"/>
      <c r="O262" s="242"/>
      <c r="U262" s="242"/>
      <c r="V262" s="242"/>
      <c r="W262" s="242"/>
      <c r="X262" s="242"/>
      <c r="Y262" s="242"/>
      <c r="Z262" s="242"/>
      <c r="AA262" s="242"/>
      <c r="AB262" s="242"/>
      <c r="AC262" s="242"/>
      <c r="AD262" s="242"/>
    </row>
    <row r="263" spans="2:30">
      <c r="B263" s="242"/>
      <c r="C263" s="242"/>
      <c r="D263" s="242"/>
      <c r="E263" s="242"/>
      <c r="F263" s="242"/>
      <c r="G263" s="242"/>
      <c r="H263" s="242"/>
      <c r="J263" s="242"/>
      <c r="K263" s="242"/>
      <c r="L263" s="242"/>
      <c r="M263" s="242"/>
      <c r="N263" s="242"/>
      <c r="O263" s="242"/>
      <c r="U263" s="242"/>
      <c r="V263" s="242"/>
      <c r="W263" s="242"/>
      <c r="X263" s="242"/>
      <c r="Y263" s="242"/>
      <c r="Z263" s="242"/>
      <c r="AA263" s="242"/>
      <c r="AB263" s="242"/>
      <c r="AC263" s="242"/>
      <c r="AD263" s="242"/>
    </row>
    <row r="264" spans="2:30">
      <c r="B264" s="242"/>
      <c r="C264" s="242"/>
      <c r="D264" s="242"/>
      <c r="E264" s="242"/>
      <c r="F264" s="242"/>
      <c r="G264" s="242"/>
      <c r="H264" s="242"/>
      <c r="J264" s="242"/>
      <c r="K264" s="242"/>
      <c r="L264" s="242"/>
      <c r="M264" s="242"/>
      <c r="N264" s="242"/>
      <c r="O264" s="242"/>
      <c r="U264" s="242"/>
      <c r="V264" s="242"/>
      <c r="W264" s="242"/>
      <c r="X264" s="242"/>
      <c r="Y264" s="242"/>
      <c r="Z264" s="242"/>
      <c r="AA264" s="242"/>
      <c r="AB264" s="242"/>
      <c r="AC264" s="242"/>
      <c r="AD264" s="242"/>
    </row>
    <row r="265" spans="2:30">
      <c r="B265" s="242"/>
      <c r="C265" s="242"/>
      <c r="D265" s="242"/>
      <c r="E265" s="242"/>
      <c r="F265" s="242"/>
      <c r="G265" s="242"/>
      <c r="H265" s="242"/>
      <c r="J265" s="242"/>
      <c r="K265" s="242"/>
      <c r="L265" s="242"/>
      <c r="M265" s="242"/>
      <c r="N265" s="242"/>
      <c r="O265" s="242"/>
      <c r="U265" s="242"/>
      <c r="V265" s="242"/>
      <c r="W265" s="242"/>
      <c r="X265" s="242"/>
      <c r="Y265" s="242"/>
      <c r="Z265" s="242"/>
      <c r="AA265" s="242"/>
      <c r="AB265" s="242"/>
      <c r="AC265" s="242"/>
      <c r="AD265" s="242"/>
    </row>
    <row r="266" spans="2:30">
      <c r="B266" s="242"/>
      <c r="C266" s="242"/>
      <c r="D266" s="242"/>
      <c r="E266" s="242"/>
      <c r="F266" s="242"/>
      <c r="G266" s="242"/>
      <c r="H266" s="242"/>
      <c r="J266" s="242"/>
      <c r="K266" s="242"/>
      <c r="L266" s="242"/>
      <c r="M266" s="242"/>
      <c r="N266" s="242"/>
      <c r="O266" s="242"/>
      <c r="U266" s="242"/>
      <c r="V266" s="242"/>
      <c r="W266" s="242"/>
      <c r="X266" s="242"/>
      <c r="Y266" s="242"/>
      <c r="Z266" s="242"/>
      <c r="AA266" s="242"/>
      <c r="AB266" s="242"/>
      <c r="AC266" s="242"/>
      <c r="AD266" s="242"/>
    </row>
    <row r="267" spans="2:30">
      <c r="B267" s="242"/>
      <c r="C267" s="242"/>
      <c r="D267" s="242"/>
      <c r="E267" s="242"/>
      <c r="F267" s="242"/>
      <c r="G267" s="242"/>
      <c r="H267" s="242"/>
      <c r="J267" s="242"/>
      <c r="K267" s="242"/>
      <c r="L267" s="242"/>
      <c r="M267" s="242"/>
      <c r="N267" s="242"/>
      <c r="O267" s="242"/>
      <c r="U267" s="242"/>
      <c r="V267" s="242"/>
      <c r="W267" s="242"/>
      <c r="X267" s="242"/>
      <c r="Y267" s="242"/>
      <c r="Z267" s="242"/>
      <c r="AA267" s="242"/>
      <c r="AB267" s="242"/>
      <c r="AC267" s="242"/>
      <c r="AD267" s="242"/>
    </row>
    <row r="268" spans="2:30">
      <c r="B268" s="242"/>
      <c r="C268" s="242"/>
      <c r="D268" s="242"/>
      <c r="E268" s="242"/>
      <c r="F268" s="242"/>
      <c r="G268" s="242"/>
      <c r="H268" s="242"/>
      <c r="J268" s="242"/>
      <c r="K268" s="242"/>
      <c r="L268" s="242"/>
      <c r="M268" s="242"/>
      <c r="N268" s="242"/>
      <c r="O268" s="242"/>
      <c r="U268" s="242"/>
      <c r="V268" s="242"/>
      <c r="W268" s="242"/>
      <c r="X268" s="242"/>
      <c r="Y268" s="242"/>
      <c r="Z268" s="242"/>
      <c r="AA268" s="242"/>
      <c r="AB268" s="242"/>
      <c r="AC268" s="242"/>
      <c r="AD268" s="242"/>
    </row>
    <row r="269" spans="2:30">
      <c r="B269" s="242"/>
      <c r="C269" s="242"/>
      <c r="D269" s="242"/>
      <c r="E269" s="242"/>
      <c r="F269" s="242"/>
      <c r="G269" s="242"/>
      <c r="H269" s="242"/>
      <c r="J269" s="242"/>
      <c r="K269" s="242"/>
      <c r="L269" s="242"/>
      <c r="M269" s="242"/>
      <c r="N269" s="242"/>
      <c r="O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</row>
    <row r="270" spans="2:30">
      <c r="B270" s="242"/>
      <c r="C270" s="242"/>
      <c r="D270" s="242"/>
      <c r="E270" s="242"/>
      <c r="F270" s="242"/>
      <c r="G270" s="242"/>
      <c r="H270" s="242"/>
      <c r="J270" s="242"/>
      <c r="K270" s="242"/>
      <c r="L270" s="242"/>
      <c r="M270" s="242"/>
      <c r="N270" s="242"/>
      <c r="O270" s="242"/>
      <c r="U270" s="242"/>
      <c r="V270" s="242"/>
      <c r="W270" s="242"/>
      <c r="X270" s="242"/>
      <c r="Y270" s="242"/>
      <c r="Z270" s="242"/>
      <c r="AA270" s="242"/>
      <c r="AB270" s="242"/>
      <c r="AC270" s="242"/>
      <c r="AD270" s="242"/>
    </row>
    <row r="271" spans="2:30">
      <c r="B271" s="242"/>
      <c r="C271" s="242"/>
      <c r="D271" s="242"/>
      <c r="E271" s="242"/>
      <c r="F271" s="242"/>
      <c r="G271" s="242"/>
      <c r="H271" s="242"/>
      <c r="J271" s="242"/>
      <c r="K271" s="242"/>
      <c r="L271" s="242"/>
      <c r="M271" s="242"/>
      <c r="N271" s="242"/>
      <c r="O271" s="242"/>
      <c r="U271" s="242"/>
      <c r="V271" s="242"/>
      <c r="W271" s="242"/>
      <c r="X271" s="242"/>
      <c r="Y271" s="242"/>
      <c r="Z271" s="242"/>
      <c r="AA271" s="242"/>
      <c r="AB271" s="242"/>
      <c r="AC271" s="242"/>
      <c r="AD271" s="242"/>
    </row>
    <row r="272" spans="2:30">
      <c r="B272" s="242"/>
      <c r="C272" s="242"/>
      <c r="D272" s="242"/>
      <c r="E272" s="242"/>
      <c r="F272" s="242"/>
      <c r="G272" s="242"/>
      <c r="H272" s="242"/>
      <c r="J272" s="242"/>
      <c r="K272" s="242"/>
      <c r="L272" s="242"/>
      <c r="M272" s="242"/>
      <c r="N272" s="242"/>
      <c r="O272" s="242"/>
      <c r="U272" s="242"/>
      <c r="V272" s="242"/>
      <c r="W272" s="242"/>
      <c r="X272" s="242"/>
      <c r="Y272" s="242"/>
      <c r="Z272" s="242"/>
      <c r="AA272" s="242"/>
      <c r="AB272" s="242"/>
      <c r="AC272" s="242"/>
      <c r="AD272" s="242"/>
    </row>
    <row r="273" spans="2:30">
      <c r="B273" s="242"/>
      <c r="C273" s="242"/>
      <c r="D273" s="242"/>
      <c r="E273" s="242"/>
      <c r="F273" s="242"/>
      <c r="G273" s="242"/>
      <c r="H273" s="242"/>
      <c r="J273" s="242"/>
      <c r="K273" s="242"/>
      <c r="L273" s="242"/>
      <c r="M273" s="242"/>
      <c r="N273" s="242"/>
      <c r="O273" s="242"/>
      <c r="U273" s="242"/>
      <c r="V273" s="242"/>
      <c r="W273" s="242"/>
      <c r="X273" s="242"/>
      <c r="Y273" s="242"/>
      <c r="Z273" s="242"/>
      <c r="AA273" s="242"/>
      <c r="AB273" s="242"/>
      <c r="AC273" s="242"/>
      <c r="AD273" s="242"/>
    </row>
    <row r="274" spans="2:30">
      <c r="B274" s="242"/>
      <c r="C274" s="242"/>
      <c r="D274" s="242"/>
      <c r="E274" s="242"/>
      <c r="F274" s="242"/>
      <c r="G274" s="242"/>
      <c r="H274" s="242"/>
      <c r="J274" s="242"/>
      <c r="K274" s="242"/>
      <c r="L274" s="242"/>
      <c r="M274" s="242"/>
      <c r="N274" s="242"/>
      <c r="O274" s="242"/>
      <c r="U274" s="242"/>
      <c r="V274" s="242"/>
      <c r="W274" s="242"/>
      <c r="X274" s="242"/>
      <c r="Y274" s="242"/>
      <c r="Z274" s="242"/>
      <c r="AA274" s="242"/>
      <c r="AB274" s="242"/>
      <c r="AC274" s="242"/>
      <c r="AD274" s="242"/>
    </row>
    <row r="275" spans="2:30">
      <c r="B275" s="242"/>
      <c r="C275" s="242"/>
      <c r="D275" s="242"/>
      <c r="E275" s="242"/>
      <c r="F275" s="242"/>
      <c r="G275" s="242"/>
      <c r="H275" s="242"/>
      <c r="J275" s="242"/>
      <c r="K275" s="242"/>
      <c r="L275" s="242"/>
      <c r="M275" s="242"/>
      <c r="N275" s="242"/>
      <c r="O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</row>
    <row r="276" spans="2:30">
      <c r="B276" s="242"/>
      <c r="C276" s="242"/>
      <c r="D276" s="242"/>
      <c r="E276" s="242"/>
      <c r="F276" s="242"/>
      <c r="G276" s="242"/>
      <c r="H276" s="242"/>
      <c r="J276" s="242"/>
      <c r="K276" s="242"/>
      <c r="L276" s="242"/>
      <c r="M276" s="242"/>
      <c r="N276" s="242"/>
      <c r="O276" s="242"/>
      <c r="U276" s="242"/>
      <c r="V276" s="242"/>
      <c r="W276" s="242"/>
      <c r="X276" s="242"/>
      <c r="Y276" s="242"/>
      <c r="Z276" s="242"/>
      <c r="AA276" s="242"/>
      <c r="AB276" s="242"/>
      <c r="AC276" s="242"/>
      <c r="AD276" s="242"/>
    </row>
    <row r="277" spans="2:30">
      <c r="B277" s="242"/>
      <c r="C277" s="242"/>
      <c r="D277" s="242"/>
      <c r="E277" s="242"/>
      <c r="F277" s="242"/>
      <c r="G277" s="242"/>
      <c r="H277" s="242"/>
      <c r="J277" s="242"/>
      <c r="K277" s="242"/>
      <c r="L277" s="242"/>
      <c r="M277" s="242"/>
      <c r="N277" s="242"/>
      <c r="O277" s="242"/>
      <c r="U277" s="242"/>
      <c r="V277" s="242"/>
      <c r="W277" s="242"/>
      <c r="X277" s="242"/>
      <c r="Y277" s="242"/>
      <c r="Z277" s="242"/>
      <c r="AA277" s="242"/>
      <c r="AB277" s="242"/>
      <c r="AC277" s="242"/>
      <c r="AD277" s="242"/>
    </row>
    <row r="278" spans="2:30">
      <c r="B278" s="242"/>
      <c r="C278" s="242"/>
      <c r="D278" s="242"/>
      <c r="E278" s="242"/>
      <c r="F278" s="242"/>
      <c r="G278" s="242"/>
      <c r="H278" s="242"/>
      <c r="J278" s="242"/>
      <c r="K278" s="242"/>
      <c r="L278" s="242"/>
      <c r="M278" s="242"/>
      <c r="N278" s="242"/>
      <c r="O278" s="242"/>
      <c r="U278" s="242"/>
      <c r="V278" s="242"/>
      <c r="W278" s="242"/>
      <c r="X278" s="242"/>
      <c r="Y278" s="242"/>
      <c r="Z278" s="242"/>
      <c r="AA278" s="242"/>
      <c r="AB278" s="242"/>
      <c r="AC278" s="242"/>
      <c r="AD278" s="242"/>
    </row>
    <row r="279" spans="2:30">
      <c r="B279" s="242"/>
      <c r="C279" s="242"/>
      <c r="D279" s="242"/>
      <c r="E279" s="242"/>
      <c r="F279" s="242"/>
      <c r="G279" s="242"/>
      <c r="H279" s="242"/>
      <c r="J279" s="242"/>
      <c r="K279" s="242"/>
      <c r="L279" s="242"/>
      <c r="M279" s="242"/>
      <c r="N279" s="242"/>
      <c r="O279" s="242"/>
      <c r="U279" s="242"/>
      <c r="V279" s="242"/>
      <c r="W279" s="242"/>
      <c r="X279" s="242"/>
      <c r="Y279" s="242"/>
      <c r="Z279" s="242"/>
      <c r="AA279" s="242"/>
      <c r="AB279" s="242"/>
      <c r="AC279" s="242"/>
      <c r="AD279" s="242"/>
    </row>
    <row r="280" spans="2:30">
      <c r="B280" s="242"/>
      <c r="C280" s="242"/>
      <c r="D280" s="242"/>
      <c r="E280" s="242"/>
      <c r="F280" s="242"/>
      <c r="G280" s="242"/>
      <c r="H280" s="242"/>
      <c r="J280" s="242"/>
      <c r="K280" s="242"/>
      <c r="L280" s="242"/>
      <c r="M280" s="242"/>
      <c r="N280" s="242"/>
      <c r="O280" s="242"/>
      <c r="U280" s="242"/>
      <c r="V280" s="242"/>
      <c r="W280" s="242"/>
      <c r="X280" s="242"/>
      <c r="Y280" s="242"/>
      <c r="Z280" s="242"/>
      <c r="AA280" s="242"/>
      <c r="AB280" s="242"/>
      <c r="AC280" s="242"/>
      <c r="AD280" s="242"/>
    </row>
    <row r="281" spans="2:30">
      <c r="B281" s="242"/>
      <c r="C281" s="242"/>
      <c r="D281" s="242"/>
      <c r="E281" s="242"/>
      <c r="F281" s="242"/>
      <c r="G281" s="242"/>
      <c r="H281" s="242"/>
      <c r="J281" s="242"/>
      <c r="K281" s="242"/>
      <c r="L281" s="242"/>
      <c r="M281" s="242"/>
      <c r="N281" s="242"/>
      <c r="O281" s="242"/>
      <c r="U281" s="242"/>
      <c r="V281" s="242"/>
      <c r="W281" s="242"/>
      <c r="X281" s="242"/>
      <c r="Y281" s="242"/>
      <c r="Z281" s="242"/>
      <c r="AA281" s="242"/>
      <c r="AB281" s="242"/>
      <c r="AC281" s="242"/>
      <c r="AD281" s="242"/>
    </row>
    <row r="282" spans="2:30">
      <c r="B282" s="242"/>
      <c r="C282" s="242"/>
      <c r="D282" s="242"/>
      <c r="E282" s="242"/>
      <c r="F282" s="242"/>
      <c r="G282" s="242"/>
      <c r="H282" s="242"/>
      <c r="J282" s="242"/>
      <c r="K282" s="242"/>
      <c r="L282" s="242"/>
      <c r="M282" s="242"/>
      <c r="N282" s="242"/>
      <c r="O282" s="242"/>
      <c r="U282" s="242"/>
      <c r="V282" s="242"/>
      <c r="W282" s="242"/>
      <c r="X282" s="242"/>
      <c r="Y282" s="242"/>
      <c r="Z282" s="242"/>
      <c r="AA282" s="242"/>
      <c r="AB282" s="242"/>
      <c r="AC282" s="242"/>
      <c r="AD282" s="242"/>
    </row>
    <row r="283" spans="2:30">
      <c r="B283" s="242"/>
      <c r="C283" s="242"/>
      <c r="D283" s="242"/>
      <c r="E283" s="242"/>
      <c r="F283" s="242"/>
      <c r="G283" s="242"/>
      <c r="H283" s="242"/>
      <c r="J283" s="242"/>
      <c r="K283" s="242"/>
      <c r="L283" s="242"/>
      <c r="M283" s="242"/>
      <c r="N283" s="242"/>
      <c r="O283" s="242"/>
      <c r="U283" s="242"/>
      <c r="V283" s="242"/>
      <c r="W283" s="242"/>
      <c r="X283" s="242"/>
      <c r="Y283" s="242"/>
      <c r="Z283" s="242"/>
      <c r="AA283" s="242"/>
      <c r="AB283" s="242"/>
      <c r="AC283" s="242"/>
      <c r="AD283" s="242"/>
    </row>
    <row r="284" spans="2:30">
      <c r="B284" s="242"/>
      <c r="C284" s="242"/>
      <c r="D284" s="242"/>
      <c r="E284" s="242"/>
      <c r="F284" s="242"/>
      <c r="G284" s="242"/>
      <c r="H284" s="242"/>
      <c r="J284" s="242"/>
      <c r="K284" s="242"/>
      <c r="L284" s="242"/>
      <c r="M284" s="242"/>
      <c r="N284" s="242"/>
      <c r="O284" s="242"/>
      <c r="U284" s="242"/>
      <c r="V284" s="242"/>
      <c r="W284" s="242"/>
      <c r="X284" s="242"/>
      <c r="Y284" s="242"/>
      <c r="Z284" s="242"/>
      <c r="AA284" s="242"/>
      <c r="AB284" s="242"/>
      <c r="AC284" s="242"/>
      <c r="AD284" s="242"/>
    </row>
    <row r="285" spans="2:30">
      <c r="B285" s="242"/>
      <c r="C285" s="242"/>
      <c r="D285" s="242"/>
      <c r="E285" s="242"/>
      <c r="F285" s="242"/>
      <c r="G285" s="242"/>
      <c r="H285" s="242"/>
      <c r="J285" s="242"/>
      <c r="K285" s="242"/>
      <c r="L285" s="242"/>
      <c r="M285" s="242"/>
      <c r="N285" s="242"/>
      <c r="O285" s="242"/>
      <c r="U285" s="242"/>
      <c r="V285" s="242"/>
      <c r="W285" s="242"/>
      <c r="X285" s="242"/>
      <c r="Y285" s="242"/>
      <c r="Z285" s="242"/>
      <c r="AA285" s="242"/>
      <c r="AB285" s="242"/>
      <c r="AC285" s="242"/>
      <c r="AD285" s="242"/>
    </row>
    <row r="286" spans="2:30">
      <c r="B286" s="242"/>
      <c r="C286" s="242"/>
      <c r="D286" s="242"/>
      <c r="E286" s="242"/>
      <c r="F286" s="242"/>
      <c r="G286" s="242"/>
      <c r="H286" s="242"/>
      <c r="J286" s="242"/>
      <c r="K286" s="242"/>
      <c r="L286" s="242"/>
      <c r="M286" s="242"/>
      <c r="N286" s="242"/>
      <c r="O286" s="242"/>
      <c r="U286" s="242"/>
      <c r="V286" s="242"/>
      <c r="W286" s="242"/>
      <c r="X286" s="242"/>
      <c r="Y286" s="242"/>
      <c r="Z286" s="242"/>
      <c r="AA286" s="242"/>
      <c r="AB286" s="242"/>
      <c r="AC286" s="242"/>
      <c r="AD286" s="242"/>
    </row>
    <row r="287" spans="2:30">
      <c r="B287" s="242"/>
      <c r="C287" s="242"/>
      <c r="D287" s="242"/>
      <c r="E287" s="242"/>
      <c r="F287" s="242"/>
      <c r="G287" s="242"/>
      <c r="H287" s="242"/>
      <c r="J287" s="242"/>
      <c r="K287" s="242"/>
      <c r="L287" s="242"/>
      <c r="M287" s="242"/>
      <c r="N287" s="242"/>
      <c r="O287" s="242"/>
      <c r="U287" s="242"/>
      <c r="V287" s="242"/>
      <c r="W287" s="242"/>
      <c r="X287" s="242"/>
      <c r="Y287" s="242"/>
      <c r="Z287" s="242"/>
      <c r="AA287" s="242"/>
      <c r="AB287" s="242"/>
      <c r="AC287" s="242"/>
      <c r="AD287" s="242"/>
    </row>
    <row r="288" spans="2:30">
      <c r="B288" s="242"/>
      <c r="C288" s="242"/>
      <c r="D288" s="242"/>
      <c r="E288" s="242"/>
      <c r="F288" s="242"/>
      <c r="G288" s="242"/>
      <c r="H288" s="242"/>
      <c r="J288" s="242"/>
      <c r="K288" s="242"/>
      <c r="L288" s="242"/>
      <c r="M288" s="242"/>
      <c r="N288" s="242"/>
      <c r="O288" s="242"/>
      <c r="U288" s="242"/>
      <c r="V288" s="242"/>
      <c r="W288" s="242"/>
      <c r="X288" s="242"/>
      <c r="Y288" s="242"/>
      <c r="Z288" s="242"/>
      <c r="AA288" s="242"/>
      <c r="AB288" s="242"/>
      <c r="AC288" s="242"/>
      <c r="AD288" s="242"/>
    </row>
    <row r="289" spans="2:30">
      <c r="B289" s="242"/>
      <c r="C289" s="242"/>
      <c r="D289" s="242"/>
      <c r="E289" s="242"/>
      <c r="F289" s="242"/>
      <c r="G289" s="242"/>
      <c r="H289" s="242"/>
      <c r="J289" s="242"/>
      <c r="K289" s="242"/>
      <c r="L289" s="242"/>
      <c r="M289" s="242"/>
      <c r="N289" s="242"/>
      <c r="O289" s="242"/>
      <c r="U289" s="242"/>
      <c r="V289" s="242"/>
      <c r="W289" s="242"/>
      <c r="X289" s="242"/>
      <c r="Y289" s="242"/>
      <c r="Z289" s="242"/>
      <c r="AA289" s="242"/>
      <c r="AB289" s="242"/>
      <c r="AC289" s="242"/>
      <c r="AD289" s="242"/>
    </row>
    <row r="290" spans="2:30">
      <c r="B290" s="242"/>
      <c r="C290" s="242"/>
      <c r="D290" s="242"/>
      <c r="E290" s="242"/>
      <c r="F290" s="242"/>
      <c r="G290" s="242"/>
      <c r="H290" s="242"/>
      <c r="J290" s="242"/>
      <c r="K290" s="242"/>
      <c r="L290" s="242"/>
      <c r="M290" s="242"/>
      <c r="N290" s="242"/>
      <c r="O290" s="242"/>
      <c r="U290" s="242"/>
      <c r="V290" s="242"/>
      <c r="W290" s="242"/>
      <c r="X290" s="242"/>
      <c r="Y290" s="242"/>
      <c r="Z290" s="242"/>
      <c r="AA290" s="242"/>
      <c r="AB290" s="242"/>
      <c r="AC290" s="242"/>
      <c r="AD290" s="242"/>
    </row>
    <row r="291" spans="2:30">
      <c r="B291" s="242"/>
      <c r="C291" s="242"/>
      <c r="D291" s="242"/>
      <c r="E291" s="242"/>
      <c r="F291" s="242"/>
      <c r="G291" s="242"/>
      <c r="H291" s="242"/>
      <c r="J291" s="242"/>
      <c r="K291" s="242"/>
      <c r="L291" s="242"/>
      <c r="M291" s="242"/>
      <c r="N291" s="242"/>
      <c r="O291" s="242"/>
      <c r="U291" s="242"/>
      <c r="V291" s="242"/>
      <c r="W291" s="242"/>
      <c r="X291" s="242"/>
      <c r="Y291" s="242"/>
      <c r="Z291" s="242"/>
      <c r="AA291" s="242"/>
      <c r="AB291" s="242"/>
      <c r="AC291" s="242"/>
      <c r="AD291" s="242"/>
    </row>
    <row r="292" spans="2:30">
      <c r="B292" s="242"/>
      <c r="C292" s="242"/>
      <c r="D292" s="242"/>
      <c r="E292" s="242"/>
      <c r="F292" s="242"/>
      <c r="G292" s="242"/>
      <c r="H292" s="242"/>
      <c r="J292" s="242"/>
      <c r="K292" s="242"/>
      <c r="L292" s="242"/>
      <c r="M292" s="242"/>
      <c r="N292" s="242"/>
      <c r="O292" s="242"/>
      <c r="U292" s="242"/>
      <c r="V292" s="242"/>
      <c r="W292" s="242"/>
      <c r="X292" s="242"/>
      <c r="Y292" s="242"/>
      <c r="Z292" s="242"/>
      <c r="AA292" s="242"/>
      <c r="AB292" s="242"/>
      <c r="AC292" s="242"/>
      <c r="AD292" s="242"/>
    </row>
    <row r="293" spans="2:30">
      <c r="B293" s="242"/>
      <c r="C293" s="242"/>
      <c r="D293" s="242"/>
      <c r="E293" s="242"/>
      <c r="F293" s="242"/>
      <c r="G293" s="242"/>
      <c r="H293" s="242"/>
      <c r="J293" s="242"/>
      <c r="K293" s="242"/>
      <c r="L293" s="242"/>
      <c r="M293" s="242"/>
      <c r="N293" s="242"/>
      <c r="O293" s="242"/>
      <c r="U293" s="242"/>
      <c r="V293" s="242"/>
      <c r="W293" s="242"/>
      <c r="X293" s="242"/>
      <c r="Y293" s="242"/>
      <c r="Z293" s="242"/>
      <c r="AA293" s="242"/>
      <c r="AB293" s="242"/>
      <c r="AC293" s="242"/>
      <c r="AD293" s="242"/>
    </row>
    <row r="294" spans="2:30">
      <c r="B294" s="242"/>
      <c r="C294" s="242"/>
      <c r="D294" s="242"/>
      <c r="E294" s="242"/>
      <c r="F294" s="242"/>
      <c r="G294" s="242"/>
      <c r="H294" s="242"/>
      <c r="J294" s="242"/>
      <c r="K294" s="242"/>
      <c r="L294" s="242"/>
      <c r="M294" s="242"/>
      <c r="N294" s="242"/>
      <c r="O294" s="242"/>
      <c r="U294" s="242"/>
      <c r="V294" s="242"/>
      <c r="W294" s="242"/>
      <c r="X294" s="242"/>
      <c r="Y294" s="242"/>
      <c r="Z294" s="242"/>
      <c r="AA294" s="242"/>
      <c r="AB294" s="242"/>
      <c r="AC294" s="242"/>
      <c r="AD294" s="242"/>
    </row>
    <row r="295" spans="2:30">
      <c r="B295" s="242"/>
      <c r="C295" s="242"/>
      <c r="D295" s="242"/>
      <c r="E295" s="242"/>
      <c r="F295" s="242"/>
      <c r="G295" s="242"/>
      <c r="H295" s="242"/>
      <c r="J295" s="242"/>
      <c r="K295" s="242"/>
      <c r="L295" s="242"/>
      <c r="M295" s="242"/>
      <c r="N295" s="242"/>
      <c r="O295" s="242"/>
      <c r="U295" s="242"/>
      <c r="V295" s="242"/>
      <c r="W295" s="242"/>
      <c r="X295" s="242"/>
      <c r="Y295" s="242"/>
      <c r="Z295" s="242"/>
      <c r="AA295" s="242"/>
      <c r="AB295" s="242"/>
      <c r="AC295" s="242"/>
      <c r="AD295" s="242"/>
    </row>
    <row r="296" spans="2:30">
      <c r="B296" s="242"/>
      <c r="C296" s="242"/>
      <c r="D296" s="242"/>
      <c r="E296" s="242"/>
      <c r="F296" s="242"/>
      <c r="G296" s="242"/>
      <c r="H296" s="242"/>
      <c r="J296" s="242"/>
      <c r="K296" s="242"/>
      <c r="L296" s="242"/>
      <c r="M296" s="242"/>
      <c r="N296" s="242"/>
      <c r="O296" s="242"/>
      <c r="U296" s="242"/>
      <c r="V296" s="242"/>
      <c r="W296" s="242"/>
      <c r="X296" s="242"/>
      <c r="Y296" s="242"/>
      <c r="Z296" s="242"/>
      <c r="AA296" s="242"/>
      <c r="AB296" s="242"/>
      <c r="AC296" s="242"/>
      <c r="AD296" s="242"/>
    </row>
    <row r="297" spans="2:30">
      <c r="B297" s="242"/>
      <c r="C297" s="242"/>
      <c r="D297" s="242"/>
      <c r="E297" s="242"/>
      <c r="F297" s="242"/>
      <c r="G297" s="242"/>
      <c r="H297" s="242"/>
      <c r="J297" s="242"/>
      <c r="K297" s="242"/>
      <c r="L297" s="242"/>
      <c r="M297" s="242"/>
      <c r="N297" s="242"/>
      <c r="O297" s="242"/>
      <c r="U297" s="242"/>
      <c r="V297" s="242"/>
      <c r="W297" s="242"/>
      <c r="X297" s="242"/>
      <c r="Y297" s="242"/>
      <c r="Z297" s="242"/>
      <c r="AA297" s="242"/>
      <c r="AB297" s="242"/>
      <c r="AC297" s="242"/>
      <c r="AD297" s="242"/>
    </row>
    <row r="298" spans="2:30">
      <c r="B298" s="242"/>
      <c r="C298" s="242"/>
      <c r="D298" s="242"/>
      <c r="E298" s="242"/>
      <c r="F298" s="242"/>
      <c r="G298" s="242"/>
      <c r="H298" s="242"/>
      <c r="J298" s="242"/>
      <c r="K298" s="242"/>
      <c r="L298" s="242"/>
      <c r="M298" s="242"/>
      <c r="N298" s="242"/>
      <c r="O298" s="242"/>
      <c r="U298" s="242"/>
      <c r="V298" s="242"/>
      <c r="W298" s="242"/>
      <c r="X298" s="242"/>
      <c r="Y298" s="242"/>
      <c r="Z298" s="242"/>
      <c r="AA298" s="242"/>
      <c r="AB298" s="242"/>
      <c r="AC298" s="242"/>
      <c r="AD298" s="242"/>
    </row>
    <row r="299" spans="2:30">
      <c r="B299" s="242"/>
      <c r="C299" s="242"/>
      <c r="D299" s="242"/>
      <c r="E299" s="242"/>
      <c r="F299" s="242"/>
      <c r="G299" s="242"/>
      <c r="H299" s="242"/>
      <c r="J299" s="242"/>
      <c r="K299" s="242"/>
      <c r="L299" s="242"/>
      <c r="M299" s="242"/>
      <c r="N299" s="242"/>
      <c r="O299" s="242"/>
      <c r="U299" s="242"/>
      <c r="V299" s="242"/>
      <c r="W299" s="242"/>
      <c r="X299" s="242"/>
      <c r="Y299" s="242"/>
      <c r="Z299" s="242"/>
      <c r="AA299" s="242"/>
      <c r="AB299" s="242"/>
      <c r="AC299" s="242"/>
      <c r="AD299" s="242"/>
    </row>
    <row r="300" spans="2:30">
      <c r="B300" s="242"/>
      <c r="D300" s="242"/>
      <c r="E300" s="242"/>
      <c r="F300" s="242"/>
      <c r="G300" s="242"/>
      <c r="H300" s="242"/>
      <c r="J300" s="242"/>
      <c r="K300" s="242"/>
      <c r="L300" s="242"/>
      <c r="M300" s="242"/>
      <c r="N300" s="242"/>
      <c r="O300" s="242"/>
      <c r="U300" s="242"/>
      <c r="V300" s="242"/>
      <c r="W300" s="242"/>
      <c r="X300" s="242"/>
      <c r="Y300" s="242"/>
      <c r="Z300" s="242"/>
      <c r="AA300" s="242"/>
      <c r="AB300" s="242"/>
      <c r="AC300" s="242"/>
      <c r="AD300" s="242"/>
    </row>
    <row r="301" spans="2:30">
      <c r="D301" s="242"/>
      <c r="E301" s="242"/>
      <c r="F301" s="242"/>
      <c r="G301" s="242"/>
      <c r="H301" s="242"/>
      <c r="J301" s="242"/>
      <c r="K301" s="242"/>
      <c r="L301" s="242"/>
      <c r="M301" s="242"/>
      <c r="N301" s="242"/>
      <c r="O301" s="242"/>
      <c r="U301" s="242"/>
      <c r="V301" s="242"/>
      <c r="W301" s="242"/>
      <c r="X301" s="242"/>
      <c r="Y301" s="242"/>
      <c r="Z301" s="242"/>
      <c r="AA301" s="242"/>
      <c r="AB301" s="242"/>
      <c r="AC301" s="242"/>
      <c r="AD301" s="242"/>
    </row>
    <row r="302" spans="2:30">
      <c r="D302" s="242"/>
      <c r="E302" s="242"/>
      <c r="F302" s="242"/>
      <c r="G302" s="242"/>
      <c r="H302" s="242"/>
      <c r="J302" s="242"/>
      <c r="K302" s="242"/>
      <c r="L302" s="242"/>
      <c r="M302" s="242"/>
      <c r="N302" s="242"/>
      <c r="O302" s="242"/>
      <c r="U302" s="242"/>
      <c r="V302" s="242"/>
      <c r="W302" s="242"/>
      <c r="X302" s="242"/>
      <c r="Y302" s="242"/>
      <c r="Z302" s="242"/>
      <c r="AA302" s="242"/>
      <c r="AB302" s="242"/>
      <c r="AC302" s="242"/>
      <c r="AD302" s="242"/>
    </row>
    <row r="303" spans="2:30">
      <c r="D303" s="242"/>
      <c r="E303" s="242"/>
      <c r="F303" s="242"/>
      <c r="G303" s="242"/>
      <c r="H303" s="242"/>
      <c r="J303" s="242"/>
      <c r="K303" s="242"/>
      <c r="L303" s="242"/>
      <c r="M303" s="242"/>
      <c r="N303" s="242"/>
      <c r="O303" s="242"/>
      <c r="U303" s="242"/>
      <c r="V303" s="242"/>
      <c r="W303" s="242"/>
      <c r="X303" s="242"/>
      <c r="Y303" s="242"/>
      <c r="Z303" s="242"/>
      <c r="AA303" s="242"/>
      <c r="AB303" s="242"/>
      <c r="AC303" s="242"/>
      <c r="AD303" s="242"/>
    </row>
    <row r="304" spans="2:30">
      <c r="D304" s="242"/>
      <c r="E304" s="242"/>
      <c r="F304" s="242"/>
      <c r="G304" s="242"/>
      <c r="H304" s="242"/>
      <c r="J304" s="242"/>
      <c r="K304" s="242"/>
      <c r="L304" s="242"/>
      <c r="M304" s="242"/>
      <c r="N304" s="242"/>
      <c r="O304" s="242"/>
      <c r="U304" s="242"/>
      <c r="V304" s="242"/>
      <c r="W304" s="242"/>
      <c r="X304" s="242"/>
      <c r="Y304" s="242"/>
      <c r="Z304" s="242"/>
      <c r="AA304" s="242"/>
      <c r="AB304" s="242"/>
      <c r="AC304" s="242"/>
      <c r="AD304" s="242"/>
    </row>
    <row r="305" spans="4:30">
      <c r="D305" s="242"/>
      <c r="E305" s="242"/>
      <c r="F305" s="242"/>
      <c r="G305" s="242"/>
      <c r="H305" s="242"/>
      <c r="J305" s="242"/>
      <c r="K305" s="242"/>
      <c r="L305" s="242"/>
      <c r="M305" s="242"/>
      <c r="N305" s="242"/>
      <c r="O305" s="242"/>
      <c r="U305" s="242"/>
      <c r="V305" s="242"/>
      <c r="W305" s="242"/>
      <c r="X305" s="242"/>
      <c r="Y305" s="242"/>
      <c r="Z305" s="242"/>
      <c r="AA305" s="242"/>
      <c r="AB305" s="242"/>
      <c r="AC305" s="242"/>
      <c r="AD305" s="242"/>
    </row>
    <row r="306" spans="4:30">
      <c r="D306" s="242"/>
      <c r="E306" s="242"/>
      <c r="F306" s="242"/>
      <c r="G306" s="242"/>
      <c r="H306" s="242"/>
      <c r="J306" s="242"/>
      <c r="K306" s="242"/>
      <c r="L306" s="242"/>
      <c r="M306" s="242"/>
      <c r="N306" s="242"/>
      <c r="O306" s="242"/>
      <c r="U306" s="242"/>
      <c r="V306" s="242"/>
      <c r="W306" s="242"/>
      <c r="X306" s="242"/>
      <c r="Y306" s="242"/>
      <c r="Z306" s="242"/>
      <c r="AA306" s="242"/>
      <c r="AB306" s="242"/>
      <c r="AC306" s="242"/>
      <c r="AD306" s="242"/>
    </row>
    <row r="307" spans="4:30">
      <c r="D307" s="242"/>
      <c r="E307" s="242"/>
      <c r="F307" s="242"/>
      <c r="G307" s="242"/>
      <c r="H307" s="242"/>
      <c r="J307" s="242"/>
      <c r="K307" s="242"/>
      <c r="L307" s="242"/>
      <c r="M307" s="242"/>
      <c r="N307" s="242"/>
      <c r="O307" s="242"/>
      <c r="U307" s="242"/>
      <c r="V307" s="242"/>
      <c r="W307" s="242"/>
      <c r="X307" s="242"/>
      <c r="Y307" s="242"/>
      <c r="Z307" s="242"/>
      <c r="AA307" s="242"/>
      <c r="AB307" s="242"/>
      <c r="AC307" s="242"/>
      <c r="AD307" s="242"/>
    </row>
    <row r="308" spans="4:30">
      <c r="D308" s="242"/>
      <c r="E308" s="242"/>
      <c r="F308" s="242"/>
      <c r="G308" s="242"/>
      <c r="H308" s="242"/>
      <c r="J308" s="242"/>
      <c r="K308" s="242"/>
      <c r="L308" s="242"/>
      <c r="M308" s="242"/>
      <c r="N308" s="242"/>
      <c r="O308" s="242"/>
      <c r="U308" s="242"/>
      <c r="V308" s="242"/>
      <c r="W308" s="242"/>
      <c r="X308" s="242"/>
      <c r="Y308" s="242"/>
      <c r="Z308" s="242"/>
      <c r="AA308" s="242"/>
      <c r="AB308" s="242"/>
      <c r="AC308" s="242"/>
      <c r="AD308" s="242"/>
    </row>
    <row r="309" spans="4:30">
      <c r="D309" s="242"/>
      <c r="E309" s="242"/>
      <c r="F309" s="242"/>
      <c r="G309" s="242"/>
      <c r="H309" s="242"/>
      <c r="J309" s="242"/>
      <c r="K309" s="242"/>
      <c r="L309" s="242"/>
      <c r="M309" s="242"/>
      <c r="N309" s="242"/>
      <c r="O309" s="242"/>
      <c r="U309" s="242"/>
      <c r="V309" s="242"/>
      <c r="W309" s="242"/>
      <c r="X309" s="242"/>
      <c r="Y309" s="242"/>
      <c r="Z309" s="242"/>
      <c r="AA309" s="242"/>
      <c r="AB309" s="242"/>
      <c r="AC309" s="242"/>
      <c r="AD309" s="242"/>
    </row>
    <row r="310" spans="4:30">
      <c r="D310" s="242"/>
      <c r="E310" s="242"/>
      <c r="F310" s="242"/>
      <c r="G310" s="242"/>
      <c r="H310" s="242"/>
      <c r="J310" s="242"/>
      <c r="K310" s="242"/>
      <c r="L310" s="242"/>
      <c r="M310" s="242"/>
      <c r="N310" s="242"/>
      <c r="O310" s="242"/>
      <c r="U310" s="242"/>
      <c r="V310" s="242"/>
      <c r="W310" s="242"/>
      <c r="X310" s="242"/>
      <c r="Y310" s="242"/>
      <c r="Z310" s="242"/>
      <c r="AA310" s="242"/>
      <c r="AB310" s="242"/>
      <c r="AC310" s="242"/>
      <c r="AD310" s="242"/>
    </row>
    <row r="311" spans="4:30">
      <c r="D311" s="242"/>
      <c r="E311" s="242"/>
      <c r="F311" s="242"/>
      <c r="G311" s="242"/>
      <c r="H311" s="242"/>
      <c r="J311" s="242"/>
      <c r="K311" s="242"/>
      <c r="L311" s="242"/>
      <c r="M311" s="242"/>
      <c r="N311" s="242"/>
      <c r="O311" s="242"/>
      <c r="U311" s="242"/>
      <c r="V311" s="242"/>
      <c r="W311" s="242"/>
      <c r="X311" s="242"/>
      <c r="Y311" s="242"/>
      <c r="Z311" s="242"/>
      <c r="AA311" s="242"/>
      <c r="AB311" s="242"/>
      <c r="AC311" s="242"/>
      <c r="AD311" s="242"/>
    </row>
    <row r="312" spans="4:30">
      <c r="D312" s="242"/>
      <c r="E312" s="242"/>
      <c r="F312" s="242"/>
      <c r="G312" s="242"/>
      <c r="H312" s="242"/>
      <c r="J312" s="242"/>
      <c r="K312" s="242"/>
      <c r="L312" s="242"/>
      <c r="M312" s="242"/>
      <c r="N312" s="242"/>
      <c r="O312" s="242"/>
      <c r="U312" s="242"/>
      <c r="V312" s="242"/>
      <c r="W312" s="242"/>
      <c r="X312" s="242"/>
      <c r="Y312" s="242"/>
      <c r="Z312" s="242"/>
      <c r="AA312" s="242"/>
      <c r="AB312" s="242"/>
      <c r="AC312" s="242"/>
      <c r="AD312" s="242"/>
    </row>
    <row r="313" spans="4:30">
      <c r="D313" s="242"/>
      <c r="E313" s="242"/>
      <c r="F313" s="242"/>
      <c r="G313" s="242"/>
      <c r="H313" s="242"/>
      <c r="J313" s="242"/>
      <c r="K313" s="242"/>
      <c r="L313" s="242"/>
      <c r="M313" s="242"/>
      <c r="N313" s="242"/>
      <c r="O313" s="242"/>
      <c r="U313" s="242"/>
      <c r="V313" s="242"/>
      <c r="W313" s="242"/>
      <c r="X313" s="242"/>
      <c r="Y313" s="242"/>
      <c r="Z313" s="242"/>
      <c r="AA313" s="242"/>
      <c r="AB313" s="242"/>
      <c r="AC313" s="242"/>
      <c r="AD313" s="242"/>
    </row>
    <row r="314" spans="4:30">
      <c r="D314" s="242"/>
      <c r="E314" s="242"/>
      <c r="F314" s="242"/>
      <c r="G314" s="242"/>
      <c r="H314" s="242"/>
      <c r="J314" s="242"/>
      <c r="K314" s="242"/>
      <c r="L314" s="242"/>
      <c r="M314" s="242"/>
      <c r="N314" s="242"/>
      <c r="O314" s="242"/>
      <c r="U314" s="242"/>
      <c r="V314" s="242"/>
      <c r="W314" s="242"/>
      <c r="X314" s="242"/>
      <c r="Y314" s="242"/>
      <c r="Z314" s="242"/>
      <c r="AA314" s="242"/>
      <c r="AB314" s="242"/>
      <c r="AC314" s="242"/>
      <c r="AD314" s="242"/>
    </row>
    <row r="315" spans="4:30">
      <c r="D315" s="242"/>
      <c r="E315" s="242"/>
      <c r="F315" s="242"/>
      <c r="G315" s="242"/>
      <c r="H315" s="242"/>
      <c r="J315" s="242"/>
      <c r="K315" s="242"/>
      <c r="L315" s="242"/>
      <c r="M315" s="242"/>
      <c r="N315" s="242"/>
      <c r="O315" s="242"/>
      <c r="U315" s="242"/>
      <c r="V315" s="242"/>
      <c r="W315" s="242"/>
      <c r="X315" s="242"/>
      <c r="Y315" s="242"/>
      <c r="Z315" s="242"/>
      <c r="AA315" s="242"/>
      <c r="AB315" s="242"/>
      <c r="AC315" s="242"/>
      <c r="AD315" s="242"/>
    </row>
    <row r="316" spans="4:30">
      <c r="D316" s="242"/>
      <c r="E316" s="242"/>
      <c r="F316" s="242"/>
      <c r="G316" s="242"/>
      <c r="H316" s="242"/>
      <c r="J316" s="242"/>
      <c r="K316" s="242"/>
      <c r="L316" s="242"/>
      <c r="M316" s="242"/>
      <c r="N316" s="242"/>
      <c r="O316" s="242"/>
      <c r="U316" s="242"/>
      <c r="V316" s="242"/>
      <c r="W316" s="242"/>
      <c r="X316" s="242"/>
      <c r="Y316" s="242"/>
      <c r="Z316" s="242"/>
      <c r="AA316" s="242"/>
      <c r="AB316" s="242"/>
      <c r="AC316" s="242"/>
      <c r="AD316" s="242"/>
    </row>
    <row r="317" spans="4:30">
      <c r="D317" s="242"/>
      <c r="E317" s="242"/>
      <c r="F317" s="242"/>
      <c r="G317" s="242"/>
      <c r="H317" s="242"/>
      <c r="J317" s="242"/>
      <c r="K317" s="242"/>
      <c r="L317" s="242"/>
      <c r="M317" s="242"/>
      <c r="N317" s="242"/>
      <c r="O317" s="242"/>
      <c r="U317" s="242"/>
      <c r="V317" s="242"/>
      <c r="W317" s="242"/>
      <c r="X317" s="242"/>
      <c r="Y317" s="242"/>
      <c r="Z317" s="242"/>
      <c r="AA317" s="242"/>
      <c r="AB317" s="242"/>
      <c r="AC317" s="242"/>
      <c r="AD317" s="242"/>
    </row>
    <row r="318" spans="4:30">
      <c r="D318" s="242"/>
      <c r="E318" s="242"/>
      <c r="F318" s="242"/>
      <c r="G318" s="242"/>
      <c r="H318" s="242"/>
      <c r="J318" s="242"/>
      <c r="K318" s="242"/>
      <c r="L318" s="242"/>
      <c r="M318" s="242"/>
      <c r="N318" s="242"/>
      <c r="O318" s="242"/>
      <c r="U318" s="242"/>
      <c r="V318" s="242"/>
      <c r="W318" s="242"/>
      <c r="X318" s="242"/>
      <c r="Y318" s="242"/>
      <c r="Z318" s="242"/>
      <c r="AA318" s="242"/>
      <c r="AB318" s="242"/>
      <c r="AC318" s="242"/>
      <c r="AD318" s="242"/>
    </row>
    <row r="319" spans="4:30">
      <c r="D319" s="242"/>
      <c r="E319" s="242"/>
      <c r="F319" s="242"/>
      <c r="G319" s="242"/>
      <c r="H319" s="242"/>
      <c r="J319" s="242"/>
      <c r="K319" s="242"/>
      <c r="L319" s="242"/>
      <c r="M319" s="242"/>
      <c r="N319" s="242"/>
      <c r="O319" s="242"/>
      <c r="U319" s="242"/>
      <c r="V319" s="242"/>
      <c r="W319" s="242"/>
      <c r="X319" s="242"/>
      <c r="Y319" s="242"/>
      <c r="Z319" s="242"/>
      <c r="AA319" s="242"/>
      <c r="AB319" s="242"/>
      <c r="AC319" s="242"/>
      <c r="AD319" s="242"/>
    </row>
    <row r="320" spans="4:30">
      <c r="D320" s="242"/>
      <c r="E320" s="242"/>
      <c r="F320" s="242"/>
      <c r="G320" s="242"/>
      <c r="H320" s="242"/>
      <c r="J320" s="242"/>
      <c r="K320" s="242"/>
      <c r="L320" s="242"/>
      <c r="M320" s="242"/>
      <c r="N320" s="242"/>
      <c r="O320" s="242"/>
      <c r="U320" s="242"/>
      <c r="V320" s="242"/>
      <c r="W320" s="242"/>
      <c r="X320" s="242"/>
      <c r="Y320" s="242"/>
      <c r="Z320" s="242"/>
      <c r="AA320" s="242"/>
      <c r="AB320" s="242"/>
      <c r="AC320" s="242"/>
      <c r="AD320" s="242"/>
    </row>
    <row r="321" spans="4:30">
      <c r="D321" s="242"/>
      <c r="E321" s="242"/>
      <c r="F321" s="242"/>
      <c r="G321" s="242"/>
      <c r="H321" s="242"/>
      <c r="J321" s="242"/>
      <c r="K321" s="242"/>
      <c r="L321" s="242"/>
      <c r="M321" s="242"/>
      <c r="N321" s="242"/>
      <c r="O321" s="242"/>
      <c r="U321" s="242"/>
      <c r="V321" s="242"/>
      <c r="W321" s="242"/>
      <c r="X321" s="242"/>
      <c r="Y321" s="242"/>
      <c r="Z321" s="242"/>
      <c r="AA321" s="242"/>
      <c r="AB321" s="242"/>
      <c r="AC321" s="242"/>
      <c r="AD321" s="242"/>
    </row>
    <row r="322" spans="4:30">
      <c r="D322" s="242"/>
      <c r="E322" s="242"/>
      <c r="F322" s="242"/>
      <c r="G322" s="242"/>
      <c r="H322" s="242"/>
      <c r="J322" s="242"/>
      <c r="K322" s="242"/>
      <c r="L322" s="242"/>
      <c r="M322" s="242"/>
      <c r="N322" s="242"/>
      <c r="O322" s="242"/>
      <c r="U322" s="242"/>
      <c r="V322" s="242"/>
      <c r="W322" s="242"/>
      <c r="X322" s="242"/>
      <c r="Y322" s="242"/>
      <c r="Z322" s="242"/>
      <c r="AA322" s="242"/>
      <c r="AB322" s="242"/>
      <c r="AC322" s="242"/>
      <c r="AD322" s="242"/>
    </row>
    <row r="323" spans="4:30">
      <c r="D323" s="242"/>
      <c r="E323" s="242"/>
      <c r="F323" s="242"/>
      <c r="G323" s="242"/>
      <c r="H323" s="242"/>
      <c r="J323" s="242"/>
      <c r="K323" s="242"/>
      <c r="L323" s="242"/>
      <c r="M323" s="242"/>
      <c r="N323" s="242"/>
      <c r="O323" s="242"/>
      <c r="U323" s="242"/>
      <c r="V323" s="242"/>
      <c r="W323" s="242"/>
      <c r="X323" s="242"/>
      <c r="Y323" s="242"/>
      <c r="Z323" s="242"/>
      <c r="AA323" s="242"/>
      <c r="AB323" s="242"/>
      <c r="AC323" s="242"/>
      <c r="AD323" s="242"/>
    </row>
    <row r="324" spans="4:30">
      <c r="D324" s="242"/>
      <c r="E324" s="242"/>
      <c r="F324" s="242"/>
      <c r="G324" s="242"/>
      <c r="H324" s="242"/>
      <c r="J324" s="242"/>
      <c r="K324" s="242"/>
      <c r="L324" s="242"/>
      <c r="M324" s="242"/>
      <c r="N324" s="242"/>
      <c r="O324" s="242"/>
      <c r="U324" s="242"/>
      <c r="V324" s="242"/>
      <c r="W324" s="242"/>
      <c r="X324" s="242"/>
      <c r="Y324" s="242"/>
      <c r="Z324" s="242"/>
      <c r="AA324" s="242"/>
      <c r="AB324" s="242"/>
      <c r="AC324" s="242"/>
      <c r="AD324" s="242"/>
    </row>
    <row r="325" spans="4:30">
      <c r="D325" s="242"/>
      <c r="E325" s="242"/>
      <c r="F325" s="242"/>
      <c r="G325" s="242"/>
      <c r="H325" s="242"/>
      <c r="J325" s="242"/>
      <c r="K325" s="242"/>
      <c r="L325" s="242"/>
      <c r="M325" s="242"/>
      <c r="N325" s="242"/>
      <c r="O325" s="242"/>
      <c r="U325" s="242"/>
      <c r="V325" s="242"/>
      <c r="W325" s="242"/>
      <c r="X325" s="242"/>
      <c r="Y325" s="242"/>
      <c r="Z325" s="242"/>
      <c r="AA325" s="242"/>
      <c r="AB325" s="242"/>
      <c r="AC325" s="242"/>
      <c r="AD325" s="242"/>
    </row>
    <row r="326" spans="4:30">
      <c r="D326" s="242"/>
      <c r="E326" s="242"/>
      <c r="F326" s="242"/>
      <c r="G326" s="242"/>
      <c r="H326" s="242"/>
      <c r="J326" s="242"/>
      <c r="K326" s="242"/>
      <c r="L326" s="242"/>
      <c r="M326" s="242"/>
      <c r="N326" s="242"/>
      <c r="O326" s="242"/>
      <c r="U326" s="242"/>
      <c r="V326" s="242"/>
      <c r="W326" s="242"/>
      <c r="X326" s="242"/>
      <c r="Y326" s="242"/>
      <c r="Z326" s="242"/>
      <c r="AA326" s="242"/>
      <c r="AB326" s="242"/>
      <c r="AC326" s="242"/>
      <c r="AD326" s="242"/>
    </row>
    <row r="327" spans="4:30">
      <c r="D327" s="242"/>
      <c r="E327" s="242"/>
      <c r="F327" s="242"/>
      <c r="G327" s="242"/>
      <c r="H327" s="242"/>
      <c r="J327" s="242"/>
      <c r="K327" s="242"/>
      <c r="L327" s="242"/>
      <c r="M327" s="242"/>
      <c r="N327" s="242"/>
      <c r="O327" s="242"/>
      <c r="U327" s="242"/>
      <c r="V327" s="242"/>
      <c r="W327" s="242"/>
      <c r="X327" s="242"/>
      <c r="Y327" s="242"/>
      <c r="Z327" s="242"/>
      <c r="AA327" s="242"/>
      <c r="AB327" s="242"/>
      <c r="AC327" s="242"/>
      <c r="AD327" s="242"/>
    </row>
    <row r="328" spans="4:30">
      <c r="D328" s="242"/>
      <c r="E328" s="242"/>
      <c r="F328" s="242"/>
      <c r="G328" s="242"/>
      <c r="H328" s="242"/>
      <c r="J328" s="242"/>
      <c r="K328" s="242"/>
      <c r="L328" s="242"/>
      <c r="M328" s="242"/>
      <c r="N328" s="242"/>
      <c r="O328" s="242"/>
      <c r="U328" s="242"/>
      <c r="V328" s="242"/>
      <c r="W328" s="242"/>
      <c r="X328" s="242"/>
      <c r="Y328" s="242"/>
      <c r="Z328" s="242"/>
      <c r="AA328" s="242"/>
      <c r="AB328" s="242"/>
      <c r="AC328" s="242"/>
      <c r="AD328" s="242"/>
    </row>
    <row r="329" spans="4:30">
      <c r="D329" s="242"/>
      <c r="E329" s="242"/>
      <c r="F329" s="242"/>
      <c r="G329" s="242"/>
      <c r="H329" s="242"/>
      <c r="J329" s="242"/>
      <c r="K329" s="242"/>
      <c r="L329" s="242"/>
      <c r="M329" s="242"/>
      <c r="N329" s="242"/>
      <c r="O329" s="242"/>
      <c r="U329" s="242"/>
      <c r="V329" s="242"/>
      <c r="W329" s="242"/>
      <c r="X329" s="242"/>
      <c r="Y329" s="242"/>
      <c r="Z329" s="242"/>
      <c r="AA329" s="242"/>
      <c r="AB329" s="242"/>
      <c r="AC329" s="242"/>
      <c r="AD329" s="242"/>
    </row>
    <row r="330" spans="4:30">
      <c r="D330" s="242"/>
      <c r="E330" s="242"/>
      <c r="F330" s="242"/>
      <c r="G330" s="242"/>
      <c r="H330" s="242"/>
      <c r="J330" s="242"/>
      <c r="K330" s="242"/>
      <c r="L330" s="242"/>
      <c r="M330" s="242"/>
      <c r="N330" s="242"/>
      <c r="O330" s="242"/>
      <c r="U330" s="242"/>
      <c r="V330" s="242"/>
      <c r="W330" s="242"/>
      <c r="X330" s="242"/>
      <c r="Y330" s="242"/>
      <c r="Z330" s="242"/>
      <c r="AA330" s="242"/>
      <c r="AB330" s="242"/>
      <c r="AC330" s="242"/>
      <c r="AD330" s="242"/>
    </row>
    <row r="331" spans="4:30">
      <c r="D331" s="242"/>
      <c r="E331" s="242"/>
      <c r="F331" s="242"/>
      <c r="G331" s="242"/>
      <c r="H331" s="242"/>
      <c r="J331" s="242"/>
      <c r="K331" s="242"/>
      <c r="L331" s="242"/>
      <c r="M331" s="242"/>
      <c r="N331" s="242"/>
      <c r="O331" s="242"/>
      <c r="U331" s="242"/>
      <c r="V331" s="242"/>
      <c r="W331" s="242"/>
      <c r="X331" s="242"/>
      <c r="Y331" s="242"/>
      <c r="Z331" s="242"/>
      <c r="AA331" s="242"/>
      <c r="AB331" s="242"/>
      <c r="AC331" s="242"/>
      <c r="AD331" s="242"/>
    </row>
    <row r="332" spans="4:30">
      <c r="D332" s="242"/>
      <c r="E332" s="242"/>
      <c r="F332" s="242"/>
      <c r="G332" s="242"/>
      <c r="H332" s="242"/>
      <c r="J332" s="242"/>
      <c r="K332" s="242"/>
      <c r="L332" s="242"/>
      <c r="M332" s="242"/>
      <c r="N332" s="242"/>
      <c r="O332" s="242"/>
      <c r="U332" s="242"/>
      <c r="V332" s="242"/>
      <c r="W332" s="242"/>
      <c r="X332" s="242"/>
      <c r="Y332" s="242"/>
      <c r="Z332" s="242"/>
      <c r="AA332" s="242"/>
      <c r="AB332" s="242"/>
      <c r="AC332" s="242"/>
      <c r="AD332" s="242"/>
    </row>
    <row r="333" spans="4:30">
      <c r="D333" s="242"/>
      <c r="E333" s="242"/>
      <c r="F333" s="242"/>
      <c r="G333" s="242"/>
      <c r="H333" s="242"/>
      <c r="J333" s="242"/>
      <c r="K333" s="242"/>
      <c r="L333" s="242"/>
      <c r="M333" s="242"/>
      <c r="N333" s="242"/>
      <c r="O333" s="242"/>
      <c r="U333" s="242"/>
      <c r="V333" s="242"/>
      <c r="W333" s="242"/>
      <c r="X333" s="242"/>
      <c r="Y333" s="242"/>
      <c r="Z333" s="242"/>
      <c r="AA333" s="242"/>
      <c r="AB333" s="242"/>
      <c r="AC333" s="242"/>
      <c r="AD333" s="242"/>
    </row>
    <row r="334" spans="4:30">
      <c r="D334" s="242"/>
      <c r="E334" s="242"/>
      <c r="F334" s="242"/>
      <c r="G334" s="242"/>
      <c r="H334" s="242"/>
      <c r="J334" s="242"/>
      <c r="K334" s="242"/>
      <c r="L334" s="242"/>
      <c r="M334" s="242"/>
      <c r="N334" s="242"/>
      <c r="O334" s="242"/>
      <c r="U334" s="242"/>
      <c r="V334" s="242"/>
      <c r="W334" s="242"/>
      <c r="X334" s="242"/>
      <c r="Y334" s="242"/>
      <c r="Z334" s="242"/>
      <c r="AA334" s="242"/>
      <c r="AB334" s="242"/>
      <c r="AC334" s="242"/>
      <c r="AD334" s="242"/>
    </row>
    <row r="335" spans="4:30">
      <c r="D335" s="242"/>
      <c r="E335" s="242"/>
      <c r="F335" s="242"/>
      <c r="G335" s="242"/>
      <c r="H335" s="242"/>
      <c r="J335" s="242"/>
      <c r="K335" s="242"/>
      <c r="L335" s="242"/>
      <c r="M335" s="242"/>
      <c r="N335" s="242"/>
      <c r="O335" s="242"/>
      <c r="U335" s="242"/>
      <c r="V335" s="242"/>
      <c r="W335" s="242"/>
      <c r="X335" s="242"/>
      <c r="Y335" s="242"/>
      <c r="Z335" s="242"/>
      <c r="AA335" s="242"/>
      <c r="AB335" s="242"/>
      <c r="AC335" s="242"/>
      <c r="AD335" s="242"/>
    </row>
    <row r="336" spans="4:30">
      <c r="D336" s="242"/>
      <c r="E336" s="242"/>
      <c r="F336" s="242"/>
      <c r="G336" s="242"/>
      <c r="H336" s="242"/>
      <c r="J336" s="242"/>
      <c r="K336" s="242"/>
      <c r="L336" s="242"/>
      <c r="M336" s="242"/>
      <c r="N336" s="242"/>
      <c r="O336" s="242"/>
      <c r="U336" s="242"/>
      <c r="V336" s="242"/>
      <c r="W336" s="242"/>
      <c r="X336" s="242"/>
      <c r="Y336" s="242"/>
      <c r="Z336" s="242"/>
      <c r="AA336" s="242"/>
      <c r="AB336" s="242"/>
      <c r="AC336" s="242"/>
      <c r="AD336" s="242"/>
    </row>
    <row r="337" spans="4:30">
      <c r="D337" s="242"/>
      <c r="E337" s="242"/>
      <c r="F337" s="242"/>
      <c r="G337" s="242"/>
      <c r="H337" s="242"/>
      <c r="J337" s="242"/>
      <c r="K337" s="242"/>
      <c r="L337" s="242"/>
      <c r="M337" s="242"/>
      <c r="N337" s="242"/>
      <c r="O337" s="242"/>
      <c r="U337" s="242"/>
      <c r="V337" s="242"/>
      <c r="W337" s="242"/>
      <c r="X337" s="242"/>
      <c r="Y337" s="242"/>
      <c r="Z337" s="242"/>
      <c r="AA337" s="242"/>
      <c r="AB337" s="242"/>
      <c r="AC337" s="242"/>
      <c r="AD337" s="242"/>
    </row>
    <row r="338" spans="4:30">
      <c r="D338" s="242"/>
      <c r="E338" s="242"/>
      <c r="F338" s="242"/>
      <c r="G338" s="242"/>
      <c r="H338" s="242"/>
      <c r="J338" s="242"/>
      <c r="K338" s="242"/>
      <c r="L338" s="242"/>
      <c r="M338" s="242"/>
      <c r="N338" s="242"/>
      <c r="O338" s="242"/>
      <c r="U338" s="242"/>
      <c r="V338" s="242"/>
      <c r="W338" s="242"/>
      <c r="X338" s="242"/>
      <c r="Y338" s="242"/>
      <c r="Z338" s="242"/>
      <c r="AA338" s="242"/>
      <c r="AB338" s="242"/>
      <c r="AC338" s="242"/>
      <c r="AD338" s="242"/>
    </row>
    <row r="339" spans="4:30">
      <c r="D339" s="242"/>
      <c r="E339" s="242"/>
      <c r="F339" s="242"/>
      <c r="G339" s="242"/>
      <c r="H339" s="242"/>
      <c r="J339" s="242"/>
      <c r="K339" s="242"/>
      <c r="L339" s="242"/>
      <c r="M339" s="242"/>
      <c r="N339" s="242"/>
      <c r="O339" s="242"/>
      <c r="U339" s="242"/>
      <c r="V339" s="242"/>
      <c r="W339" s="242"/>
      <c r="X339" s="242"/>
      <c r="Y339" s="242"/>
      <c r="Z339" s="242"/>
      <c r="AA339" s="242"/>
      <c r="AB339" s="242"/>
      <c r="AC339" s="242"/>
      <c r="AD339" s="242"/>
    </row>
    <row r="340" spans="4:30">
      <c r="D340" s="242"/>
      <c r="E340" s="242"/>
      <c r="F340" s="242"/>
      <c r="G340" s="242"/>
      <c r="H340" s="242"/>
      <c r="J340" s="242"/>
      <c r="K340" s="242"/>
      <c r="L340" s="242"/>
      <c r="M340" s="242"/>
      <c r="N340" s="242"/>
      <c r="O340" s="242"/>
      <c r="U340" s="242"/>
      <c r="V340" s="242"/>
      <c r="W340" s="242"/>
      <c r="X340" s="242"/>
      <c r="Y340" s="242"/>
      <c r="Z340" s="242"/>
      <c r="AA340" s="242"/>
      <c r="AB340" s="242"/>
      <c r="AC340" s="242"/>
      <c r="AD340" s="242"/>
    </row>
    <row r="341" spans="4:30">
      <c r="D341" s="242"/>
      <c r="E341" s="242"/>
      <c r="F341" s="242"/>
      <c r="G341" s="242"/>
      <c r="H341" s="242"/>
      <c r="J341" s="242"/>
      <c r="K341" s="242"/>
      <c r="L341" s="242"/>
      <c r="M341" s="242"/>
      <c r="N341" s="242"/>
      <c r="O341" s="242"/>
      <c r="U341" s="242"/>
      <c r="V341" s="242"/>
      <c r="W341" s="242"/>
      <c r="X341" s="242"/>
      <c r="Y341" s="242"/>
      <c r="Z341" s="242"/>
      <c r="AA341" s="242"/>
      <c r="AB341" s="242"/>
      <c r="AC341" s="242"/>
      <c r="AD341" s="242"/>
    </row>
    <row r="342" spans="4:30">
      <c r="D342" s="242"/>
      <c r="E342" s="242"/>
      <c r="F342" s="242"/>
      <c r="G342" s="242"/>
      <c r="H342" s="242"/>
      <c r="J342" s="242"/>
      <c r="K342" s="242"/>
      <c r="L342" s="242"/>
      <c r="M342" s="242"/>
      <c r="N342" s="242"/>
      <c r="O342" s="242"/>
      <c r="U342" s="242"/>
      <c r="V342" s="242"/>
      <c r="W342" s="242"/>
      <c r="X342" s="242"/>
      <c r="Y342" s="242"/>
      <c r="Z342" s="242"/>
      <c r="AA342" s="242"/>
      <c r="AB342" s="242"/>
      <c r="AC342" s="242"/>
      <c r="AD342" s="242"/>
    </row>
    <row r="343" spans="4:30">
      <c r="D343" s="242"/>
      <c r="E343" s="242"/>
      <c r="F343" s="242"/>
      <c r="G343" s="242"/>
      <c r="H343" s="242"/>
      <c r="J343" s="242"/>
      <c r="K343" s="242"/>
      <c r="L343" s="242"/>
      <c r="M343" s="242"/>
      <c r="N343" s="242"/>
      <c r="O343" s="242"/>
      <c r="U343" s="242"/>
      <c r="V343" s="242"/>
      <c r="W343" s="242"/>
      <c r="X343" s="242"/>
      <c r="Y343" s="242"/>
      <c r="Z343" s="242"/>
      <c r="AA343" s="242"/>
      <c r="AB343" s="242"/>
      <c r="AC343" s="242"/>
      <c r="AD343" s="242"/>
    </row>
    <row r="344" spans="4:30">
      <c r="D344" s="242"/>
      <c r="E344" s="242"/>
      <c r="F344" s="242"/>
      <c r="G344" s="242"/>
      <c r="H344" s="242"/>
      <c r="J344" s="242"/>
      <c r="K344" s="242"/>
      <c r="L344" s="242"/>
      <c r="M344" s="242"/>
      <c r="N344" s="242"/>
      <c r="O344" s="242"/>
      <c r="U344" s="242"/>
      <c r="V344" s="242"/>
      <c r="W344" s="242"/>
      <c r="X344" s="242"/>
      <c r="Y344" s="242"/>
      <c r="Z344" s="242"/>
      <c r="AA344" s="242"/>
      <c r="AB344" s="242"/>
      <c r="AC344" s="242"/>
      <c r="AD344" s="242"/>
    </row>
    <row r="345" spans="4:30">
      <c r="D345" s="242"/>
      <c r="E345" s="242"/>
      <c r="F345" s="242"/>
      <c r="G345" s="242"/>
      <c r="H345" s="242"/>
      <c r="J345" s="242"/>
      <c r="K345" s="242"/>
      <c r="L345" s="242"/>
      <c r="M345" s="242"/>
      <c r="N345" s="242"/>
      <c r="O345" s="242"/>
      <c r="U345" s="242"/>
      <c r="V345" s="242"/>
      <c r="W345" s="242"/>
      <c r="X345" s="242"/>
      <c r="Y345" s="242"/>
      <c r="Z345" s="242"/>
      <c r="AA345" s="242"/>
      <c r="AB345" s="242"/>
      <c r="AC345" s="242"/>
      <c r="AD345" s="242"/>
    </row>
    <row r="346" spans="4:30">
      <c r="D346" s="242"/>
      <c r="E346" s="242"/>
      <c r="F346" s="242"/>
      <c r="G346" s="242"/>
      <c r="H346" s="242"/>
      <c r="J346" s="242"/>
      <c r="K346" s="242"/>
      <c r="L346" s="242"/>
      <c r="M346" s="242"/>
      <c r="N346" s="242"/>
      <c r="O346" s="242"/>
      <c r="U346" s="242"/>
      <c r="V346" s="242"/>
      <c r="W346" s="242"/>
      <c r="X346" s="242"/>
      <c r="Y346" s="242"/>
      <c r="Z346" s="242"/>
      <c r="AA346" s="242"/>
      <c r="AB346" s="242"/>
      <c r="AC346" s="242"/>
      <c r="AD346" s="242"/>
    </row>
    <row r="347" spans="4:30">
      <c r="D347" s="242"/>
      <c r="E347" s="242"/>
      <c r="F347" s="242"/>
      <c r="G347" s="242"/>
      <c r="H347" s="242"/>
      <c r="J347" s="242"/>
      <c r="K347" s="242"/>
      <c r="L347" s="242"/>
      <c r="M347" s="242"/>
      <c r="N347" s="242"/>
      <c r="O347" s="242"/>
      <c r="U347" s="242"/>
      <c r="V347" s="242"/>
      <c r="W347" s="242"/>
      <c r="X347" s="242"/>
      <c r="Y347" s="242"/>
      <c r="Z347" s="242"/>
      <c r="AA347" s="242"/>
      <c r="AB347" s="242"/>
      <c r="AC347" s="242"/>
      <c r="AD347" s="242"/>
    </row>
    <row r="348" spans="4:30">
      <c r="D348" s="242"/>
      <c r="E348" s="242"/>
      <c r="F348" s="242"/>
      <c r="G348" s="242"/>
      <c r="H348" s="242"/>
      <c r="J348" s="242"/>
      <c r="K348" s="242"/>
      <c r="L348" s="242"/>
      <c r="M348" s="242"/>
      <c r="N348" s="242"/>
      <c r="O348" s="242"/>
      <c r="U348" s="242"/>
      <c r="V348" s="242"/>
      <c r="W348" s="242"/>
      <c r="X348" s="242"/>
      <c r="Y348" s="242"/>
      <c r="Z348" s="242"/>
      <c r="AA348" s="242"/>
      <c r="AB348" s="242"/>
      <c r="AC348" s="242"/>
      <c r="AD348" s="242"/>
    </row>
    <row r="349" spans="4:30">
      <c r="D349" s="242"/>
      <c r="E349" s="242"/>
      <c r="F349" s="242"/>
      <c r="G349" s="242"/>
      <c r="H349" s="242"/>
      <c r="J349" s="242"/>
      <c r="K349" s="242"/>
      <c r="L349" s="242"/>
      <c r="M349" s="242"/>
      <c r="N349" s="242"/>
      <c r="O349" s="242"/>
      <c r="U349" s="242"/>
      <c r="V349" s="242"/>
      <c r="W349" s="242"/>
      <c r="X349" s="242"/>
      <c r="Y349" s="242"/>
      <c r="Z349" s="242"/>
      <c r="AA349" s="242"/>
      <c r="AB349" s="242"/>
      <c r="AC349" s="242"/>
      <c r="AD349" s="242"/>
    </row>
    <row r="350" spans="4:30">
      <c r="E350" s="242"/>
      <c r="F350" s="242"/>
      <c r="G350" s="242"/>
      <c r="H350" s="242"/>
      <c r="J350" s="242"/>
      <c r="K350" s="242"/>
      <c r="L350" s="242"/>
      <c r="M350" s="242"/>
      <c r="N350" s="242"/>
      <c r="O350" s="242"/>
      <c r="U350" s="242"/>
      <c r="V350" s="242"/>
      <c r="W350" s="242"/>
      <c r="X350" s="242"/>
      <c r="Y350" s="242"/>
      <c r="Z350" s="242"/>
      <c r="AA350" s="242"/>
      <c r="AB350" s="242"/>
      <c r="AC350" s="242"/>
      <c r="AD350" s="242"/>
    </row>
    <row r="351" spans="4:30">
      <c r="U351" s="242"/>
    </row>
  </sheetData>
  <sheetProtection selectLockedCells="1"/>
  <mergeCells count="24">
    <mergeCell ref="B14:C14"/>
    <mergeCell ref="B15:C15"/>
    <mergeCell ref="B16:C16"/>
    <mergeCell ref="B17:C17"/>
    <mergeCell ref="AD13:AU15"/>
    <mergeCell ref="AD16:AU16"/>
    <mergeCell ref="B2:K2"/>
    <mergeCell ref="D1:K1"/>
    <mergeCell ref="B11:C11"/>
    <mergeCell ref="B12:C12"/>
    <mergeCell ref="B13:C13"/>
    <mergeCell ref="D8:E8"/>
    <mergeCell ref="AV30:AW30"/>
    <mergeCell ref="D6:G6"/>
    <mergeCell ref="AV24:AW24"/>
    <mergeCell ref="AV25:AW25"/>
    <mergeCell ref="AV26:AW26"/>
    <mergeCell ref="AV27:AW27"/>
    <mergeCell ref="AV20:AW20"/>
    <mergeCell ref="AV21:AW21"/>
    <mergeCell ref="AV22:AW22"/>
    <mergeCell ref="AV23:AW23"/>
    <mergeCell ref="AV28:AW28"/>
    <mergeCell ref="AV29:AW29"/>
  </mergeCells>
  <phoneticPr fontId="5" type="noConversion"/>
  <printOptions horizontalCentered="1" verticalCentered="1"/>
  <pageMargins left="0.75" right="0.31496062992125984" top="0.51181102362204722" bottom="0.31496062992125984" header="0.51181102362204722" footer="0.51181102362204722"/>
  <pageSetup paperSize="9" scale="81" orientation="landscape" horizontalDpi="300" verticalDpi="300" r:id="rId1"/>
  <headerFooter alignWithMargins="0">
    <oddFooter xml:space="preserve">&amp;R     </oddFooter>
  </headerFooter>
  <ignoredErrors>
    <ignoredError sqref="AU3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100"/>
  <sheetViews>
    <sheetView showGridLines="0" topLeftCell="A2" zoomScale="75" workbookViewId="0">
      <pane xSplit="1" ySplit="3" topLeftCell="B58" activePane="bottomRight" state="frozen"/>
      <selection activeCell="A2" sqref="A2"/>
      <selection pane="topRight" activeCell="B2" sqref="B2"/>
      <selection pane="bottomLeft" activeCell="A5" sqref="A5"/>
      <selection pane="bottomRight" activeCell="I68" sqref="I68"/>
    </sheetView>
  </sheetViews>
  <sheetFormatPr baseColWidth="10" defaultColWidth="7.109375" defaultRowHeight="13.2"/>
  <cols>
    <col min="1" max="4" width="7.109375" style="14" customWidth="1"/>
    <col min="5" max="5" width="7.6640625" style="14" customWidth="1"/>
    <col min="6" max="6" width="7.109375" style="14" customWidth="1"/>
    <col min="7" max="7" width="10.6640625" style="14" customWidth="1"/>
    <col min="8" max="8" width="9" style="14" customWidth="1"/>
    <col min="9" max="9" width="8.88671875" style="14" customWidth="1"/>
    <col min="10" max="10" width="11.5546875" style="14" customWidth="1"/>
    <col min="11" max="11" width="10.5546875" style="14" customWidth="1"/>
    <col min="12" max="12" width="9.88671875" style="14" customWidth="1"/>
    <col min="13" max="13" width="10.6640625" style="14" customWidth="1"/>
    <col min="14" max="14" width="11.44140625" style="14" customWidth="1"/>
    <col min="15" max="23" width="7.109375" style="14" customWidth="1"/>
    <col min="24" max="24" width="10.44140625" style="14" customWidth="1"/>
    <col min="25" max="26" width="7.109375" style="14" customWidth="1"/>
    <col min="27" max="27" width="9.44140625" style="14" customWidth="1"/>
    <col min="28" max="28" width="7.109375" style="14" customWidth="1"/>
    <col min="29" max="29" width="9.5546875" style="14" customWidth="1"/>
    <col min="30" max="16384" width="7.109375" style="14"/>
  </cols>
  <sheetData>
    <row r="2" spans="1:22">
      <c r="H2" s="21" t="s">
        <v>168</v>
      </c>
    </row>
    <row r="3" spans="1:22" ht="13.8" thickBot="1"/>
    <row r="4" spans="1:22" ht="14.4" thickTop="1" thickBot="1">
      <c r="A4" s="37" t="s">
        <v>169</v>
      </c>
      <c r="B4" s="39">
        <v>-40</v>
      </c>
      <c r="C4" s="39">
        <v>-35</v>
      </c>
      <c r="D4" s="39">
        <v>-30</v>
      </c>
      <c r="E4" s="39">
        <v>-25</v>
      </c>
      <c r="F4" s="39">
        <v>-20</v>
      </c>
      <c r="G4" s="39">
        <v>-10</v>
      </c>
      <c r="H4" s="39">
        <v>0</v>
      </c>
      <c r="I4" s="39">
        <f t="shared" ref="I4:V4" si="0">+H4+10</f>
        <v>10</v>
      </c>
      <c r="J4" s="39">
        <f t="shared" si="0"/>
        <v>20</v>
      </c>
      <c r="K4" s="39">
        <f t="shared" si="0"/>
        <v>30</v>
      </c>
      <c r="L4" s="39">
        <f t="shared" si="0"/>
        <v>40</v>
      </c>
      <c r="M4" s="39">
        <f t="shared" si="0"/>
        <v>50</v>
      </c>
      <c r="N4" s="39">
        <f t="shared" si="0"/>
        <v>60</v>
      </c>
      <c r="O4" s="39">
        <f t="shared" si="0"/>
        <v>70</v>
      </c>
      <c r="P4" s="39">
        <f t="shared" si="0"/>
        <v>80</v>
      </c>
      <c r="Q4" s="39">
        <f t="shared" si="0"/>
        <v>90</v>
      </c>
      <c r="R4" s="39">
        <f t="shared" si="0"/>
        <v>100</v>
      </c>
      <c r="S4" s="39">
        <f t="shared" si="0"/>
        <v>110</v>
      </c>
      <c r="T4" s="39">
        <f t="shared" si="0"/>
        <v>120</v>
      </c>
      <c r="U4" s="39">
        <f t="shared" si="0"/>
        <v>130</v>
      </c>
      <c r="V4" s="40">
        <f t="shared" si="0"/>
        <v>140</v>
      </c>
    </row>
    <row r="5" spans="1:22">
      <c r="A5" s="19">
        <v>0</v>
      </c>
      <c r="B5" s="25">
        <v>0.99990000000000001</v>
      </c>
      <c r="C5" s="25">
        <v>0.99990000000000001</v>
      </c>
      <c r="D5" s="25">
        <v>0.99990000000000001</v>
      </c>
      <c r="E5" s="25">
        <v>0.99990000000000001</v>
      </c>
      <c r="F5" s="25">
        <v>0.99990000000000001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5">
        <v>1</v>
      </c>
      <c r="S5" s="25">
        <v>1</v>
      </c>
      <c r="T5" s="25">
        <v>1</v>
      </c>
      <c r="U5" s="25">
        <v>1</v>
      </c>
      <c r="V5" s="26">
        <v>1</v>
      </c>
    </row>
    <row r="6" spans="1:22">
      <c r="A6" s="19">
        <v>100</v>
      </c>
      <c r="B6" s="25">
        <v>0.999</v>
      </c>
      <c r="C6" s="25">
        <v>0.99909999999999999</v>
      </c>
      <c r="D6" s="25">
        <v>0.99929999999999997</v>
      </c>
      <c r="E6" s="25">
        <v>0.99939999999999996</v>
      </c>
      <c r="F6" s="25">
        <v>0.99950000000000006</v>
      </c>
      <c r="G6" s="25">
        <v>0.99970000000000003</v>
      </c>
      <c r="H6" s="25">
        <v>0.99980000000000002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2"/>
    </row>
    <row r="7" spans="1:22">
      <c r="A7" s="19">
        <v>200</v>
      </c>
      <c r="B7" s="25">
        <v>0.99809999999999999</v>
      </c>
      <c r="C7" s="25">
        <v>0.99839999999999995</v>
      </c>
      <c r="D7" s="25">
        <v>0.99870000000000003</v>
      </c>
      <c r="E7" s="25">
        <v>0.99890000000000001</v>
      </c>
      <c r="F7" s="25">
        <v>0.99909999999999999</v>
      </c>
      <c r="G7" s="25">
        <v>0.99939999999999996</v>
      </c>
      <c r="H7" s="25">
        <v>0.99960000000000004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2"/>
    </row>
    <row r="8" spans="1:22">
      <c r="A8" s="19">
        <f>+A5+250</f>
        <v>250</v>
      </c>
      <c r="B8" s="41"/>
      <c r="C8" s="41"/>
      <c r="D8" s="41"/>
      <c r="E8" s="41"/>
      <c r="F8" s="41"/>
      <c r="G8" s="41"/>
      <c r="H8" s="25">
        <v>0.99950000000000006</v>
      </c>
      <c r="I8" s="25">
        <v>0.99960000000000004</v>
      </c>
      <c r="J8" s="25">
        <v>0.99980000000000002</v>
      </c>
      <c r="K8" s="25">
        <v>0.99990000000000001</v>
      </c>
      <c r="L8" s="25">
        <v>0.99990000000000001</v>
      </c>
      <c r="M8" s="25">
        <v>0.99990000000000001</v>
      </c>
      <c r="N8" s="25">
        <v>0.99990000000000001</v>
      </c>
      <c r="O8" s="25">
        <v>0.99990000000000001</v>
      </c>
      <c r="P8" s="25">
        <v>1</v>
      </c>
      <c r="Q8" s="25">
        <v>0.99990000000000001</v>
      </c>
      <c r="R8" s="25">
        <v>0.99990000000000001</v>
      </c>
      <c r="S8" s="25">
        <v>0.99990000000000001</v>
      </c>
      <c r="T8" s="25">
        <v>0.99990000000000001</v>
      </c>
      <c r="U8" s="25">
        <v>0.99990000000000001</v>
      </c>
      <c r="V8" s="26">
        <v>0.99990000000000001</v>
      </c>
    </row>
    <row r="9" spans="1:22">
      <c r="A9" s="19">
        <v>300</v>
      </c>
      <c r="B9" s="25">
        <v>0.99729999999999996</v>
      </c>
      <c r="C9" s="25">
        <v>0.99770000000000003</v>
      </c>
      <c r="D9" s="25">
        <v>0.99809999999999999</v>
      </c>
      <c r="E9" s="25">
        <v>0.99839999999999995</v>
      </c>
      <c r="F9" s="25">
        <v>0.99860000000000004</v>
      </c>
      <c r="G9" s="25">
        <v>0.999</v>
      </c>
      <c r="H9" s="25">
        <v>0.99929999999999997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2"/>
    </row>
    <row r="10" spans="1:22">
      <c r="A10" s="19">
        <v>400</v>
      </c>
      <c r="B10" s="25">
        <v>0.99660000000000004</v>
      </c>
      <c r="C10" s="25">
        <v>0.99709999999999999</v>
      </c>
      <c r="D10" s="25">
        <v>0.99750000000000005</v>
      </c>
      <c r="E10" s="25">
        <v>0.99790000000000001</v>
      </c>
      <c r="F10" s="25">
        <v>0.99819999999999998</v>
      </c>
      <c r="G10" s="25">
        <v>0.99870000000000003</v>
      </c>
      <c r="H10" s="25">
        <v>0.99909999999999999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2"/>
    </row>
    <row r="11" spans="1:22">
      <c r="A11" s="19">
        <f>+A8+250</f>
        <v>500</v>
      </c>
      <c r="B11" s="25">
        <v>0.99590000000000001</v>
      </c>
      <c r="C11" s="25">
        <v>0.99650000000000005</v>
      </c>
      <c r="D11" s="25">
        <v>0.997</v>
      </c>
      <c r="E11" s="25">
        <v>0.99739999999999995</v>
      </c>
      <c r="F11" s="25">
        <v>0.99780000000000002</v>
      </c>
      <c r="G11" s="25">
        <v>0.99839999999999995</v>
      </c>
      <c r="H11" s="25">
        <v>0.99890000000000001</v>
      </c>
      <c r="I11" s="25">
        <v>0.99919999999999998</v>
      </c>
      <c r="J11" s="25">
        <v>0.99939999999999996</v>
      </c>
      <c r="K11" s="25">
        <v>0.99960000000000004</v>
      </c>
      <c r="L11" s="25">
        <v>0.99960000000000004</v>
      </c>
      <c r="M11" s="25">
        <v>0.99970000000000003</v>
      </c>
      <c r="N11" s="25">
        <v>0.99970000000000003</v>
      </c>
      <c r="O11" s="25">
        <v>0.99980000000000002</v>
      </c>
      <c r="P11" s="25">
        <v>0.99980000000000002</v>
      </c>
      <c r="Q11" s="25">
        <v>0.99980000000000002</v>
      </c>
      <c r="R11" s="25">
        <v>0.99970000000000003</v>
      </c>
      <c r="S11" s="25">
        <v>0.99970000000000003</v>
      </c>
      <c r="T11" s="25">
        <v>0.99960000000000004</v>
      </c>
      <c r="U11" s="25">
        <v>0.99960000000000004</v>
      </c>
      <c r="V11" s="26">
        <v>0.99950000000000006</v>
      </c>
    </row>
    <row r="12" spans="1:22">
      <c r="A12" s="19">
        <v>600</v>
      </c>
      <c r="B12" s="25">
        <v>0.99539999999999995</v>
      </c>
      <c r="C12" s="25">
        <v>0.996</v>
      </c>
      <c r="D12" s="25">
        <v>0.99650000000000005</v>
      </c>
      <c r="E12" s="25">
        <v>0.997</v>
      </c>
      <c r="F12" s="25">
        <v>0.99739999999999995</v>
      </c>
      <c r="G12" s="25">
        <v>0.99809999999999999</v>
      </c>
      <c r="H12" s="25">
        <v>0.99860000000000004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2"/>
    </row>
    <row r="13" spans="1:22">
      <c r="A13" s="19">
        <v>700</v>
      </c>
      <c r="B13" s="25">
        <v>0.995</v>
      </c>
      <c r="C13" s="25">
        <v>0.99560000000000004</v>
      </c>
      <c r="D13" s="25">
        <v>0.99619999999999997</v>
      </c>
      <c r="E13" s="25">
        <v>0.99670000000000003</v>
      </c>
      <c r="F13" s="25">
        <v>0.99719999999999998</v>
      </c>
      <c r="G13" s="25">
        <v>0.99790000000000001</v>
      </c>
      <c r="H13" s="25">
        <v>0.99839999999999995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2"/>
    </row>
    <row r="14" spans="1:22">
      <c r="A14" s="19">
        <f>+A11+250</f>
        <v>750</v>
      </c>
      <c r="B14" s="41"/>
      <c r="C14" s="41"/>
      <c r="D14" s="41"/>
      <c r="E14" s="41"/>
      <c r="F14" s="41"/>
      <c r="G14" s="41"/>
      <c r="H14" s="25">
        <v>0.99829999999999997</v>
      </c>
      <c r="I14" s="25">
        <v>0.99860000000000004</v>
      </c>
      <c r="J14" s="25">
        <v>0.99890000000000001</v>
      </c>
      <c r="K14" s="25">
        <v>0.99909999999999999</v>
      </c>
      <c r="L14" s="25">
        <v>0.99919999999999998</v>
      </c>
      <c r="M14" s="25">
        <v>0.99929999999999997</v>
      </c>
      <c r="N14" s="25">
        <v>0.99929999999999997</v>
      </c>
      <c r="O14" s="25">
        <v>0.99939999999999996</v>
      </c>
      <c r="P14" s="25">
        <v>0.99950000000000006</v>
      </c>
      <c r="Q14" s="25">
        <v>0.99950000000000006</v>
      </c>
      <c r="R14" s="25">
        <v>0.99950000000000006</v>
      </c>
      <c r="S14" s="25">
        <v>0.99939999999999996</v>
      </c>
      <c r="T14" s="25">
        <v>0.99939999999999996</v>
      </c>
      <c r="U14" s="25">
        <v>0.99929999999999997</v>
      </c>
      <c r="V14" s="26">
        <v>0.99919999999999998</v>
      </c>
    </row>
    <row r="15" spans="1:22">
      <c r="A15" s="19">
        <v>800</v>
      </c>
      <c r="B15" s="25">
        <v>0.99480000000000002</v>
      </c>
      <c r="C15" s="25">
        <v>0.99539999999999995</v>
      </c>
      <c r="D15" s="25">
        <v>0.996</v>
      </c>
      <c r="E15" s="25">
        <v>0.99650000000000005</v>
      </c>
      <c r="F15" s="25">
        <v>0.99690000000000001</v>
      </c>
      <c r="G15" s="25">
        <v>0.99760000000000004</v>
      </c>
      <c r="H15" s="25">
        <v>0.99819999999999998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2"/>
    </row>
    <row r="16" spans="1:22">
      <c r="A16" s="19">
        <v>900</v>
      </c>
      <c r="B16" s="25">
        <v>0.99480000000000002</v>
      </c>
      <c r="C16" s="25">
        <v>0.99539999999999995</v>
      </c>
      <c r="D16" s="25">
        <v>0.99590000000000001</v>
      </c>
      <c r="E16" s="25">
        <v>0.99639999999999995</v>
      </c>
      <c r="F16" s="25">
        <v>0.99680000000000002</v>
      </c>
      <c r="G16" s="25">
        <v>0.99750000000000005</v>
      </c>
      <c r="H16" s="25">
        <v>0.99790000000000001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2"/>
    </row>
    <row r="17" spans="1:22" ht="13.8" thickBot="1">
      <c r="A17" s="22">
        <f>+A14+250</f>
        <v>1000</v>
      </c>
      <c r="B17" s="27">
        <v>0.995</v>
      </c>
      <c r="C17" s="27">
        <v>0.99550000000000005</v>
      </c>
      <c r="D17" s="27">
        <v>0.996</v>
      </c>
      <c r="E17" s="27">
        <v>0.99639999999999995</v>
      </c>
      <c r="F17" s="27">
        <v>0.99670000000000003</v>
      </c>
      <c r="G17" s="27">
        <v>0.99729999999999996</v>
      </c>
      <c r="H17" s="27">
        <v>0.99770000000000003</v>
      </c>
      <c r="I17" s="27">
        <v>0.998</v>
      </c>
      <c r="J17" s="27">
        <v>0.99829999999999997</v>
      </c>
      <c r="K17" s="27">
        <v>0.99839999999999995</v>
      </c>
      <c r="L17" s="27">
        <v>0.99850000000000005</v>
      </c>
      <c r="M17" s="27">
        <v>0.99860000000000004</v>
      </c>
      <c r="N17" s="27">
        <v>0.99870000000000003</v>
      </c>
      <c r="O17" s="27">
        <v>0.99890000000000001</v>
      </c>
      <c r="P17" s="27">
        <v>0.99909999999999999</v>
      </c>
      <c r="Q17" s="27">
        <v>0.99919999999999998</v>
      </c>
      <c r="R17" s="27">
        <v>0.99919999999999998</v>
      </c>
      <c r="S17" s="27">
        <v>0.99919999999999998</v>
      </c>
      <c r="T17" s="27">
        <v>0.99909999999999999</v>
      </c>
      <c r="U17" s="27">
        <v>0.999</v>
      </c>
      <c r="V17" s="28">
        <v>0.99890000000000001</v>
      </c>
    </row>
    <row r="18" spans="1:22">
      <c r="A18" s="19">
        <v>1100</v>
      </c>
      <c r="B18" s="25">
        <v>0.99550000000000005</v>
      </c>
      <c r="C18" s="25">
        <v>0.99590000000000001</v>
      </c>
      <c r="D18" s="25">
        <v>0.99619999999999997</v>
      </c>
      <c r="E18" s="25">
        <v>0.99650000000000005</v>
      </c>
      <c r="F18" s="25">
        <v>0.99680000000000002</v>
      </c>
      <c r="G18" s="25">
        <v>0.99719999999999998</v>
      </c>
      <c r="H18" s="25">
        <v>0.99760000000000004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2"/>
    </row>
    <row r="19" spans="1:22">
      <c r="A19" s="19">
        <v>1200</v>
      </c>
      <c r="B19" s="25">
        <v>0.99629999999999996</v>
      </c>
      <c r="C19" s="25">
        <v>0.99650000000000005</v>
      </c>
      <c r="D19" s="25">
        <v>0.99670000000000003</v>
      </c>
      <c r="E19" s="25">
        <v>0.99690000000000001</v>
      </c>
      <c r="F19" s="25">
        <v>0.997</v>
      </c>
      <c r="G19" s="25">
        <v>0.99719999999999998</v>
      </c>
      <c r="H19" s="25">
        <v>0.99739999999999995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2"/>
    </row>
    <row r="20" spans="1:22">
      <c r="A20" s="19">
        <v>1225</v>
      </c>
      <c r="B20" s="25">
        <v>0.99660000000000004</v>
      </c>
      <c r="C20" s="25">
        <v>0.99670000000000003</v>
      </c>
      <c r="D20" s="25">
        <v>0.99690000000000001</v>
      </c>
      <c r="E20" s="25">
        <v>0.997</v>
      </c>
      <c r="F20" s="25">
        <v>0.99709999999999999</v>
      </c>
      <c r="G20" s="25">
        <v>0.99719999999999998</v>
      </c>
      <c r="H20" s="25">
        <v>0.99739999999999995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2"/>
    </row>
    <row r="21" spans="1:22">
      <c r="A21" s="19">
        <f>+A17+250</f>
        <v>1250</v>
      </c>
      <c r="B21" s="25">
        <v>0.99680000000000002</v>
      </c>
      <c r="C21" s="25">
        <v>0.99690000000000001</v>
      </c>
      <c r="D21" s="25">
        <v>0.997</v>
      </c>
      <c r="E21" s="25">
        <v>0.99709999999999999</v>
      </c>
      <c r="F21" s="25">
        <v>0.99719999999999998</v>
      </c>
      <c r="G21" s="25">
        <v>0.99729999999999996</v>
      </c>
      <c r="H21" s="25">
        <v>0.99729999999999996</v>
      </c>
      <c r="I21" s="25">
        <v>0.99739999999999995</v>
      </c>
      <c r="J21" s="25">
        <v>0.99750000000000005</v>
      </c>
      <c r="K21" s="25">
        <v>0.99750000000000005</v>
      </c>
      <c r="L21" s="25">
        <v>0.99760000000000004</v>
      </c>
      <c r="M21" s="25">
        <v>0.99770000000000003</v>
      </c>
      <c r="N21" s="25">
        <v>0.99790000000000001</v>
      </c>
      <c r="O21" s="25">
        <v>0.99809999999999999</v>
      </c>
      <c r="P21" s="25">
        <v>0.99850000000000005</v>
      </c>
      <c r="Q21" s="25">
        <v>0.99880000000000002</v>
      </c>
      <c r="R21" s="25">
        <v>0.99890000000000001</v>
      </c>
      <c r="S21" s="25">
        <v>0.99890000000000001</v>
      </c>
      <c r="T21" s="25">
        <v>0.99890000000000001</v>
      </c>
      <c r="U21" s="25">
        <v>0.99890000000000001</v>
      </c>
      <c r="V21" s="26">
        <v>0.99880000000000002</v>
      </c>
    </row>
    <row r="22" spans="1:22">
      <c r="A22" s="19">
        <v>1300</v>
      </c>
      <c r="B22" s="25">
        <v>0.99809999999999999</v>
      </c>
      <c r="C22" s="25">
        <v>0.99790000000000001</v>
      </c>
      <c r="D22" s="25">
        <v>0.99770000000000003</v>
      </c>
      <c r="E22" s="25">
        <v>0.99750000000000005</v>
      </c>
      <c r="F22" s="25">
        <v>0.99739999999999995</v>
      </c>
      <c r="G22" s="25">
        <v>0.99729999999999996</v>
      </c>
      <c r="H22" s="25">
        <v>0.99729999999999996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2"/>
    </row>
    <row r="23" spans="1:22">
      <c r="A23" s="19">
        <v>1350</v>
      </c>
      <c r="B23" s="25">
        <v>1.0007999999999999</v>
      </c>
      <c r="C23" s="25">
        <v>0.99970000000000003</v>
      </c>
      <c r="D23" s="25">
        <v>0.99890000000000001</v>
      </c>
      <c r="E23" s="25">
        <v>0.99829999999999997</v>
      </c>
      <c r="F23" s="25">
        <v>0.99790000000000001</v>
      </c>
      <c r="G23" s="25">
        <v>0.99750000000000005</v>
      </c>
      <c r="H23" s="25">
        <v>0.99729999999999996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2"/>
    </row>
    <row r="24" spans="1:22">
      <c r="A24" s="19">
        <v>1400</v>
      </c>
      <c r="B24" s="25">
        <v>1.0032000000000001</v>
      </c>
      <c r="C24" s="25">
        <v>1.0013000000000001</v>
      </c>
      <c r="D24" s="25">
        <v>0.99990000000000001</v>
      </c>
      <c r="E24" s="25">
        <v>0.999</v>
      </c>
      <c r="F24" s="25">
        <v>0.99829999999999997</v>
      </c>
      <c r="G24" s="25">
        <v>0.99760000000000004</v>
      </c>
      <c r="H24" s="25">
        <v>0.99719999999999998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2"/>
    </row>
    <row r="25" spans="1:22">
      <c r="A25" s="19">
        <v>1450</v>
      </c>
      <c r="B25" s="25">
        <v>1.0052000000000001</v>
      </c>
      <c r="C25" s="25">
        <v>1.0025999999999999</v>
      </c>
      <c r="D25" s="25">
        <v>1.0006999999999999</v>
      </c>
      <c r="E25" s="25">
        <v>0.99950000000000006</v>
      </c>
      <c r="F25" s="25">
        <v>0.99860000000000004</v>
      </c>
      <c r="G25" s="25">
        <v>0.99760000000000004</v>
      </c>
      <c r="H25" s="25">
        <v>0.99709999999999999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2"/>
    </row>
    <row r="26" spans="1:22">
      <c r="A26" s="19">
        <f>+A21+250</f>
        <v>1500</v>
      </c>
      <c r="B26" s="25">
        <v>1.0068999999999999</v>
      </c>
      <c r="C26" s="25">
        <v>1.0036</v>
      </c>
      <c r="D26" s="25">
        <v>1.0013000000000001</v>
      </c>
      <c r="E26" s="25">
        <v>0.99980000000000002</v>
      </c>
      <c r="F26" s="25">
        <v>0.99880000000000002</v>
      </c>
      <c r="G26" s="25">
        <v>0.99750000000000005</v>
      </c>
      <c r="H26" s="25">
        <v>0.997</v>
      </c>
      <c r="I26" s="25">
        <v>0.99680000000000002</v>
      </c>
      <c r="J26" s="25">
        <v>0.99680000000000002</v>
      </c>
      <c r="K26" s="25">
        <v>0.99690000000000001</v>
      </c>
      <c r="L26" s="25">
        <v>0.997</v>
      </c>
      <c r="M26" s="25">
        <v>0.997</v>
      </c>
      <c r="N26" s="25">
        <v>0.99709999999999999</v>
      </c>
      <c r="O26" s="25">
        <v>0.99719999999999998</v>
      </c>
      <c r="P26" s="25">
        <v>0.99770000000000003</v>
      </c>
      <c r="Q26" s="25">
        <v>0.99819999999999998</v>
      </c>
      <c r="R26" s="25">
        <v>0.99860000000000004</v>
      </c>
      <c r="S26" s="25">
        <v>0.99880000000000002</v>
      </c>
      <c r="T26" s="25">
        <v>0.99880000000000002</v>
      </c>
      <c r="U26" s="25">
        <v>0.99880000000000002</v>
      </c>
      <c r="V26" s="26">
        <v>0.99870000000000003</v>
      </c>
    </row>
    <row r="27" spans="1:22">
      <c r="A27" s="19">
        <v>1550</v>
      </c>
      <c r="B27" s="25">
        <v>1.0081</v>
      </c>
      <c r="C27" s="25">
        <v>1.0043</v>
      </c>
      <c r="D27" s="25">
        <v>1.0017</v>
      </c>
      <c r="E27" s="25">
        <v>1</v>
      </c>
      <c r="F27" s="25">
        <v>0.99880000000000002</v>
      </c>
      <c r="G27" s="25">
        <v>0.99739999999999995</v>
      </c>
      <c r="H27" s="25">
        <v>0.99680000000000002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2"/>
    </row>
    <row r="28" spans="1:22">
      <c r="A28" s="19">
        <v>1600</v>
      </c>
      <c r="B28" s="25">
        <v>1.0088999999999999</v>
      </c>
      <c r="C28" s="25">
        <v>1.0046999999999999</v>
      </c>
      <c r="D28" s="25">
        <v>1.0018</v>
      </c>
      <c r="E28" s="25">
        <v>0.99990000000000001</v>
      </c>
      <c r="F28" s="25">
        <v>0.99870000000000003</v>
      </c>
      <c r="G28" s="25">
        <v>0.99719999999999998</v>
      </c>
      <c r="H28" s="25">
        <v>0.99680000000000002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2"/>
    </row>
    <row r="29" spans="1:22">
      <c r="A29" s="19">
        <v>1650</v>
      </c>
      <c r="B29" s="25">
        <v>1.0093000000000001</v>
      </c>
      <c r="C29" s="25">
        <v>1.0046999999999999</v>
      </c>
      <c r="D29" s="25">
        <v>1.0017</v>
      </c>
      <c r="E29" s="25">
        <v>0.99970000000000003</v>
      </c>
      <c r="F29" s="25">
        <v>0.99839999999999995</v>
      </c>
      <c r="G29" s="25">
        <v>0.99690000000000001</v>
      </c>
      <c r="H29" s="25">
        <v>0.99619999999999997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2"/>
    </row>
    <row r="30" spans="1:22">
      <c r="A30" s="19">
        <v>1700</v>
      </c>
      <c r="B30" s="25">
        <v>1.0092000000000001</v>
      </c>
      <c r="C30" s="25">
        <v>1.0044</v>
      </c>
      <c r="D30" s="25">
        <v>1.0013000000000001</v>
      </c>
      <c r="E30" s="25">
        <v>0.99929999999999997</v>
      </c>
      <c r="F30" s="25">
        <v>0.998</v>
      </c>
      <c r="G30" s="25">
        <v>0.99650000000000005</v>
      </c>
      <c r="H30" s="25">
        <v>0.99590000000000001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2"/>
    </row>
    <row r="31" spans="1:22">
      <c r="A31" s="19">
        <f>+A26+250</f>
        <v>1750</v>
      </c>
      <c r="B31" s="25">
        <v>1.0085999999999999</v>
      </c>
      <c r="C31" s="25">
        <v>1.0038</v>
      </c>
      <c r="D31" s="25">
        <v>1.0006999999999999</v>
      </c>
      <c r="E31" s="25">
        <v>0.99870000000000003</v>
      </c>
      <c r="F31" s="25">
        <v>0.99750000000000005</v>
      </c>
      <c r="G31" s="25">
        <v>0.99609999999999999</v>
      </c>
      <c r="H31" s="25">
        <v>0.99550000000000005</v>
      </c>
      <c r="I31" s="25">
        <v>0.99529999999999996</v>
      </c>
      <c r="J31" s="25">
        <v>0.99529999999999996</v>
      </c>
      <c r="K31" s="25">
        <v>0.99539999999999995</v>
      </c>
      <c r="L31" s="25">
        <v>0.99550000000000005</v>
      </c>
      <c r="M31" s="25">
        <v>0.99560000000000004</v>
      </c>
      <c r="N31" s="25">
        <v>0.99580000000000002</v>
      </c>
      <c r="O31" s="25">
        <v>0.99609999999999999</v>
      </c>
      <c r="P31" s="25">
        <v>0.99670000000000003</v>
      </c>
      <c r="Q31" s="25">
        <v>0.99760000000000004</v>
      </c>
      <c r="R31" s="25">
        <v>0.99819999999999998</v>
      </c>
      <c r="S31" s="25">
        <v>0.99860000000000004</v>
      </c>
      <c r="T31" s="25">
        <v>0.99880000000000002</v>
      </c>
      <c r="U31" s="25">
        <v>0.99880000000000002</v>
      </c>
      <c r="V31" s="26">
        <v>0.99880000000000002</v>
      </c>
    </row>
    <row r="32" spans="1:22">
      <c r="A32" s="19">
        <v>1800</v>
      </c>
      <c r="B32" s="25">
        <v>1.0076000000000001</v>
      </c>
      <c r="C32" s="25">
        <v>1.0026999999999999</v>
      </c>
      <c r="D32" s="25">
        <v>0.99970000000000003</v>
      </c>
      <c r="E32" s="25">
        <v>0.99790000000000001</v>
      </c>
      <c r="F32" s="25">
        <v>0.99680000000000002</v>
      </c>
      <c r="G32" s="25">
        <v>0.99560000000000004</v>
      </c>
      <c r="H32" s="25">
        <v>0.995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2"/>
    </row>
    <row r="33" spans="1:22">
      <c r="A33" s="19">
        <v>1850</v>
      </c>
      <c r="B33" s="25">
        <v>1.0061</v>
      </c>
      <c r="C33" s="25">
        <v>1.0013000000000001</v>
      </c>
      <c r="D33" s="25">
        <v>0.99850000000000005</v>
      </c>
      <c r="E33" s="25">
        <v>0.99690000000000001</v>
      </c>
      <c r="F33" s="25">
        <v>0.99590000000000001</v>
      </c>
      <c r="G33" s="25">
        <v>0.99490000000000001</v>
      </c>
      <c r="H33" s="25">
        <v>0.99450000000000005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2"/>
    </row>
    <row r="34" spans="1:22">
      <c r="A34" s="19">
        <v>1900</v>
      </c>
      <c r="B34" s="25">
        <v>1.004</v>
      </c>
      <c r="C34" s="25">
        <v>0.99950000000000006</v>
      </c>
      <c r="D34" s="25">
        <v>0.997</v>
      </c>
      <c r="E34" s="25">
        <v>0.99560000000000004</v>
      </c>
      <c r="F34" s="25">
        <v>0.99490000000000001</v>
      </c>
      <c r="G34" s="25">
        <v>0.99419999999999997</v>
      </c>
      <c r="H34" s="25">
        <v>0.99390000000000001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2"/>
    </row>
    <row r="35" spans="1:22">
      <c r="A35" s="19">
        <v>1950</v>
      </c>
      <c r="B35" s="25">
        <v>1.0014000000000001</v>
      </c>
      <c r="C35" s="25">
        <v>0.99729999999999996</v>
      </c>
      <c r="D35" s="25">
        <v>0.99519999999999997</v>
      </c>
      <c r="E35" s="25">
        <v>0.99409999999999998</v>
      </c>
      <c r="F35" s="25">
        <v>0.99370000000000003</v>
      </c>
      <c r="G35" s="25">
        <v>0.99339999999999995</v>
      </c>
      <c r="H35" s="25">
        <v>0.99329999999999996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2"/>
    </row>
    <row r="36" spans="1:22">
      <c r="A36" s="19">
        <f>+A31+250</f>
        <v>2000</v>
      </c>
      <c r="B36" s="25">
        <v>0.99809999999999999</v>
      </c>
      <c r="C36" s="25">
        <v>0.99450000000000005</v>
      </c>
      <c r="D36" s="25">
        <v>0.99280000000000002</v>
      </c>
      <c r="E36" s="25">
        <v>0.99209999999999998</v>
      </c>
      <c r="F36" s="25">
        <v>0.99199999999999999</v>
      </c>
      <c r="G36" s="25">
        <v>0.99219999999999997</v>
      </c>
      <c r="H36" s="25">
        <v>0.99229999999999996</v>
      </c>
      <c r="I36" s="25">
        <v>0.99250000000000005</v>
      </c>
      <c r="J36" s="25">
        <v>0.99260000000000004</v>
      </c>
      <c r="K36" s="25">
        <v>0.9929</v>
      </c>
      <c r="L36" s="25">
        <v>0.99309999999999998</v>
      </c>
      <c r="M36" s="25">
        <v>0.99350000000000005</v>
      </c>
      <c r="N36" s="25">
        <v>0.99390000000000001</v>
      </c>
      <c r="O36" s="25">
        <v>0.99460000000000004</v>
      </c>
      <c r="P36" s="25">
        <v>0.99560000000000004</v>
      </c>
      <c r="Q36" s="25">
        <v>0.99690000000000001</v>
      </c>
      <c r="R36" s="25">
        <v>0.99780000000000002</v>
      </c>
      <c r="S36" s="25">
        <v>0.99839999999999995</v>
      </c>
      <c r="T36" s="25">
        <v>0.99870000000000003</v>
      </c>
      <c r="U36" s="25">
        <v>0.99890000000000001</v>
      </c>
      <c r="V36" s="26">
        <v>0.999</v>
      </c>
    </row>
    <row r="37" spans="1:22">
      <c r="A37" s="19">
        <v>2100</v>
      </c>
      <c r="B37" s="25">
        <v>0.99029999999999996</v>
      </c>
      <c r="C37" s="25">
        <v>0.98729999999999996</v>
      </c>
      <c r="D37" s="25">
        <v>0.98619999999999997</v>
      </c>
      <c r="E37" s="25">
        <v>0.98619999999999997</v>
      </c>
      <c r="F37" s="25">
        <v>0.98660000000000003</v>
      </c>
      <c r="G37" s="25">
        <v>0.97770000000000001</v>
      </c>
      <c r="H37" s="25">
        <v>0.98870000000000002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2"/>
    </row>
    <row r="38" spans="1:22">
      <c r="A38" s="19">
        <v>2200</v>
      </c>
      <c r="B38" s="25">
        <v>0.98180000000000001</v>
      </c>
      <c r="C38" s="25">
        <v>0.97940000000000005</v>
      </c>
      <c r="D38" s="25">
        <v>0.97899999999999998</v>
      </c>
      <c r="E38" s="25">
        <v>0.97950000000000004</v>
      </c>
      <c r="F38" s="25">
        <v>0.98050000000000004</v>
      </c>
      <c r="G38" s="25">
        <v>0.98260000000000003</v>
      </c>
      <c r="H38" s="25">
        <v>0.98460000000000003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2"/>
    </row>
    <row r="39" spans="1:22" ht="13.8" thickBot="1">
      <c r="A39" s="22">
        <f>+A36+250</f>
        <v>2250</v>
      </c>
      <c r="B39" s="43"/>
      <c r="C39" s="43"/>
      <c r="D39" s="43"/>
      <c r="E39" s="43"/>
      <c r="F39" s="43"/>
      <c r="G39" s="43"/>
      <c r="H39" s="27">
        <v>0.98229999999999995</v>
      </c>
      <c r="I39" s="27">
        <v>0.98440000000000005</v>
      </c>
      <c r="J39" s="27">
        <v>0.98619999999999997</v>
      </c>
      <c r="K39" s="27">
        <v>0.9879</v>
      </c>
      <c r="L39" s="27">
        <v>0.98929999999999996</v>
      </c>
      <c r="M39" s="27">
        <v>0.99060000000000004</v>
      </c>
      <c r="N39" s="27">
        <v>0.99180000000000001</v>
      </c>
      <c r="O39" s="27">
        <v>0.99309999999999998</v>
      </c>
      <c r="P39" s="27">
        <v>0.99450000000000005</v>
      </c>
      <c r="Q39" s="27">
        <v>0.996</v>
      </c>
      <c r="R39" s="27">
        <v>0.99709999999999999</v>
      </c>
      <c r="S39" s="27">
        <v>0.99770000000000003</v>
      </c>
      <c r="T39" s="27">
        <v>0.998</v>
      </c>
      <c r="U39" s="27">
        <v>0.99809999999999999</v>
      </c>
      <c r="V39" s="28">
        <v>0.99809999999999999</v>
      </c>
    </row>
    <row r="40" spans="1:22">
      <c r="A40" s="38">
        <v>2400</v>
      </c>
      <c r="B40" s="25">
        <v>0.96299999999999997</v>
      </c>
      <c r="C40" s="25">
        <v>0.96199999999999997</v>
      </c>
      <c r="D40" s="25">
        <v>0.96279999999999999</v>
      </c>
      <c r="E40" s="25">
        <v>0.96450000000000002</v>
      </c>
      <c r="F40" s="25">
        <v>0.96660000000000001</v>
      </c>
      <c r="G40" s="25">
        <v>0.9708</v>
      </c>
      <c r="H40" s="25">
        <v>0.97460000000000002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2"/>
    </row>
    <row r="41" spans="1:22">
      <c r="A41" s="19">
        <f>+A39+250</f>
        <v>2500</v>
      </c>
      <c r="B41" s="41"/>
      <c r="C41" s="41"/>
      <c r="D41" s="41"/>
      <c r="E41" s="41"/>
      <c r="F41" s="41"/>
      <c r="G41" s="41"/>
      <c r="H41" s="25">
        <v>0.96899999999999997</v>
      </c>
      <c r="I41" s="25">
        <v>0.97309999999999997</v>
      </c>
      <c r="J41" s="25">
        <v>0.9768</v>
      </c>
      <c r="K41" s="25">
        <v>0.98</v>
      </c>
      <c r="L41" s="25">
        <v>0.98280000000000001</v>
      </c>
      <c r="M41" s="25">
        <v>0.98519999999999996</v>
      </c>
      <c r="N41" s="25">
        <v>0.98740000000000006</v>
      </c>
      <c r="O41" s="25">
        <v>0.98950000000000005</v>
      </c>
      <c r="P41" s="25">
        <v>0.99150000000000005</v>
      </c>
      <c r="Q41" s="25">
        <v>0.99350000000000005</v>
      </c>
      <c r="R41" s="25">
        <v>0.995</v>
      </c>
      <c r="S41" s="25">
        <v>0.99580000000000002</v>
      </c>
      <c r="T41" s="25">
        <v>0.99629999999999996</v>
      </c>
      <c r="U41" s="25">
        <v>0.99660000000000004</v>
      </c>
      <c r="V41" s="26">
        <v>0.99670000000000003</v>
      </c>
    </row>
    <row r="42" spans="1:22">
      <c r="A42" s="19">
        <v>2650</v>
      </c>
      <c r="B42" s="25">
        <v>0.9375</v>
      </c>
      <c r="C42" s="25">
        <v>0.93810000000000004</v>
      </c>
      <c r="D42" s="25">
        <v>0.94040000000000001</v>
      </c>
      <c r="E42" s="25">
        <v>0.94350000000000001</v>
      </c>
      <c r="F42" s="25">
        <v>0.94699999999999995</v>
      </c>
      <c r="G42" s="25">
        <v>0.95379999999999998</v>
      </c>
      <c r="H42" s="25">
        <v>0.95979999999999999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2"/>
    </row>
    <row r="43" spans="1:22">
      <c r="A43" s="19">
        <f>+A41+250</f>
        <v>2750</v>
      </c>
      <c r="B43" s="41"/>
      <c r="C43" s="41"/>
      <c r="D43" s="41"/>
      <c r="E43" s="41"/>
      <c r="F43" s="41"/>
      <c r="G43" s="41"/>
      <c r="H43" s="25">
        <v>0.95340000000000003</v>
      </c>
      <c r="I43" s="25">
        <v>0.95960000000000001</v>
      </c>
      <c r="J43" s="25">
        <v>0.96509999999999996</v>
      </c>
      <c r="K43" s="25">
        <v>0.96989999999999998</v>
      </c>
      <c r="L43" s="25">
        <v>0.97409999999999997</v>
      </c>
      <c r="M43" s="25">
        <v>0.9778</v>
      </c>
      <c r="N43" s="25">
        <v>0.98109999999999997</v>
      </c>
      <c r="O43" s="25">
        <v>0.98409999999999997</v>
      </c>
      <c r="P43" s="25">
        <v>0.9869</v>
      </c>
      <c r="Q43" s="25">
        <v>0.98960000000000004</v>
      </c>
      <c r="R43" s="25">
        <v>0.99160000000000004</v>
      </c>
      <c r="S43" s="25">
        <v>0.99299999999999999</v>
      </c>
      <c r="T43" s="25">
        <v>0.99380000000000002</v>
      </c>
      <c r="U43" s="25">
        <v>0.99439999999999995</v>
      </c>
      <c r="V43" s="26">
        <v>0.99480000000000002</v>
      </c>
    </row>
    <row r="44" spans="1:22">
      <c r="A44" s="19">
        <v>2850</v>
      </c>
      <c r="B44" s="25">
        <v>0.91649999999999998</v>
      </c>
      <c r="C44" s="25">
        <v>0.91820000000000002</v>
      </c>
      <c r="D44" s="25">
        <v>0.92159999999999997</v>
      </c>
      <c r="E44" s="25">
        <v>0.92569999999999997</v>
      </c>
      <c r="F44" s="25">
        <v>0.93020000000000003</v>
      </c>
      <c r="G44" s="25">
        <v>0.93889999999999996</v>
      </c>
      <c r="H44" s="25">
        <v>0.94669999999999999</v>
      </c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2"/>
    </row>
    <row r="45" spans="1:22">
      <c r="A45" s="19">
        <f>+A43+250</f>
        <v>3000</v>
      </c>
      <c r="B45" s="41"/>
      <c r="C45" s="41"/>
      <c r="D45" s="41"/>
      <c r="E45" s="41"/>
      <c r="F45" s="41"/>
      <c r="G45" s="41"/>
      <c r="H45" s="25">
        <v>0.93640000000000001</v>
      </c>
      <c r="I45" s="25">
        <v>0.94450000000000001</v>
      </c>
      <c r="J45" s="25">
        <v>0.95169999999999999</v>
      </c>
      <c r="K45" s="25">
        <v>0.95809999999999995</v>
      </c>
      <c r="L45" s="25">
        <v>0.96379999999999999</v>
      </c>
      <c r="M45" s="25">
        <v>0.96879999999999999</v>
      </c>
      <c r="N45" s="25">
        <v>0.97319999999999995</v>
      </c>
      <c r="O45" s="25">
        <v>0.97719999999999996</v>
      </c>
      <c r="P45" s="25">
        <v>0.98099999999999998</v>
      </c>
      <c r="Q45" s="25">
        <v>0.98450000000000004</v>
      </c>
      <c r="R45" s="25">
        <v>0.98719999999999997</v>
      </c>
      <c r="S45" s="25">
        <v>0.98909999999999998</v>
      </c>
      <c r="T45" s="25">
        <v>0.99050000000000005</v>
      </c>
      <c r="U45" s="25">
        <v>0.99160000000000004</v>
      </c>
      <c r="V45" s="26">
        <v>0.99229999999999996</v>
      </c>
    </row>
    <row r="46" spans="1:22">
      <c r="A46" s="19">
        <v>3150</v>
      </c>
      <c r="B46" s="25">
        <v>0.88529999999999998</v>
      </c>
      <c r="C46" s="25">
        <v>0.88839999999999997</v>
      </c>
      <c r="D46" s="25">
        <v>0.89319999999999999</v>
      </c>
      <c r="E46" s="25">
        <v>0.89870000000000005</v>
      </c>
      <c r="F46" s="25">
        <v>0.90449999999999997</v>
      </c>
      <c r="G46" s="25">
        <v>0.91559999999999997</v>
      </c>
      <c r="H46" s="25">
        <v>0.92579999999999996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2"/>
    </row>
    <row r="47" spans="1:22">
      <c r="A47" s="19">
        <f>+A45+250</f>
        <v>3250</v>
      </c>
      <c r="B47" s="41"/>
      <c r="C47" s="41"/>
      <c r="D47" s="41"/>
      <c r="E47" s="41"/>
      <c r="F47" s="41"/>
      <c r="G47" s="41"/>
      <c r="H47" s="25">
        <v>0.91859999999999997</v>
      </c>
      <c r="I47" s="25">
        <v>0.9284</v>
      </c>
      <c r="J47" s="25">
        <v>0.93720000000000003</v>
      </c>
      <c r="K47" s="25">
        <v>0.94510000000000005</v>
      </c>
      <c r="L47" s="25">
        <v>0.95209999999999995</v>
      </c>
      <c r="M47" s="25">
        <v>0.95840000000000003</v>
      </c>
      <c r="N47" s="25">
        <v>0.96399999999999997</v>
      </c>
      <c r="O47" s="25">
        <v>0.96909999999999996</v>
      </c>
      <c r="P47" s="25">
        <v>0.9738</v>
      </c>
      <c r="Q47" s="25">
        <v>0.97819999999999996</v>
      </c>
      <c r="R47" s="25">
        <v>0.98170000000000002</v>
      </c>
      <c r="S47" s="25">
        <v>0.98440000000000005</v>
      </c>
      <c r="T47" s="25">
        <v>0.98650000000000004</v>
      </c>
      <c r="U47" s="25">
        <v>0.98809999999999998</v>
      </c>
      <c r="V47" s="26">
        <v>0.98929999999999996</v>
      </c>
    </row>
    <row r="48" spans="1:22">
      <c r="A48" s="19">
        <v>3350</v>
      </c>
      <c r="B48" s="25">
        <v>0.86539999999999995</v>
      </c>
      <c r="C48" s="25">
        <v>0.86919999999999997</v>
      </c>
      <c r="D48" s="25">
        <v>0.87470000000000003</v>
      </c>
      <c r="E48" s="25">
        <v>0.88100000000000001</v>
      </c>
      <c r="F48" s="25">
        <v>0.88749999999999996</v>
      </c>
      <c r="G48" s="25">
        <v>0.9</v>
      </c>
      <c r="H48" s="25">
        <v>0.91139999999999999</v>
      </c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2"/>
    </row>
    <row r="49" spans="1:24" ht="13.8" thickBot="1">
      <c r="A49" s="22">
        <f>+A47+250</f>
        <v>3500</v>
      </c>
      <c r="B49" s="27">
        <v>0.85109999999999997</v>
      </c>
      <c r="C49" s="27">
        <v>0.85540000000000005</v>
      </c>
      <c r="D49" s="27">
        <v>0.86140000000000005</v>
      </c>
      <c r="E49" s="27">
        <v>0.86809999999999998</v>
      </c>
      <c r="F49" s="27">
        <v>0.875</v>
      </c>
      <c r="G49" s="27">
        <v>0.88839999999999997</v>
      </c>
      <c r="H49" s="27">
        <v>0.90069999999999995</v>
      </c>
      <c r="I49" s="27">
        <v>0.91190000000000004</v>
      </c>
      <c r="J49" s="27">
        <v>0.92210000000000003</v>
      </c>
      <c r="K49" s="27">
        <v>0.93130000000000002</v>
      </c>
      <c r="L49" s="27">
        <v>0.9395</v>
      </c>
      <c r="M49" s="27">
        <v>0.94699999999999995</v>
      </c>
      <c r="N49" s="27">
        <v>0.95369999999999999</v>
      </c>
      <c r="O49" s="27">
        <v>0.95989999999999998</v>
      </c>
      <c r="P49" s="27">
        <v>0.96560000000000001</v>
      </c>
      <c r="Q49" s="27">
        <v>0.97099999999999997</v>
      </c>
      <c r="R49" s="27">
        <v>0.97540000000000004</v>
      </c>
      <c r="S49" s="27">
        <v>0.97889999999999999</v>
      </c>
      <c r="T49" s="27">
        <v>0.98160000000000003</v>
      </c>
      <c r="U49" s="27">
        <v>0.9839</v>
      </c>
      <c r="V49" s="28">
        <v>0.98570000000000002</v>
      </c>
    </row>
    <row r="50" spans="1:24">
      <c r="A50" s="19">
        <v>3700</v>
      </c>
      <c r="B50" s="25">
        <v>0.83309999999999995</v>
      </c>
      <c r="C50" s="25">
        <v>0.83789999999999998</v>
      </c>
      <c r="D50" s="25">
        <v>0.84430000000000005</v>
      </c>
      <c r="E50" s="25">
        <v>0.85150000000000003</v>
      </c>
      <c r="F50" s="25">
        <v>0.8589</v>
      </c>
      <c r="G50" s="25">
        <v>0.87329999999999997</v>
      </c>
      <c r="H50" s="25">
        <v>0.88649999999999995</v>
      </c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2"/>
    </row>
    <row r="51" spans="1:24">
      <c r="A51" s="19">
        <f>+A49+250</f>
        <v>3750</v>
      </c>
      <c r="B51" s="41"/>
      <c r="C51" s="41"/>
      <c r="D51" s="41"/>
      <c r="E51" s="41"/>
      <c r="F51" s="41"/>
      <c r="G51" s="41"/>
      <c r="H51" s="25">
        <v>0.88300000000000001</v>
      </c>
      <c r="I51" s="25">
        <v>0.89529999999999998</v>
      </c>
      <c r="J51" s="25">
        <v>0.90659999999999996</v>
      </c>
      <c r="K51" s="25">
        <v>0.91690000000000005</v>
      </c>
      <c r="L51" s="25">
        <v>0.92679999999999996</v>
      </c>
      <c r="M51" s="25">
        <v>0.93489999999999995</v>
      </c>
      <c r="N51" s="25">
        <v>0.94269999999999998</v>
      </c>
      <c r="O51" s="25">
        <v>0.94989999999999997</v>
      </c>
      <c r="P51" s="25">
        <v>0.95660000000000001</v>
      </c>
      <c r="Q51" s="25">
        <v>0.96289999999999998</v>
      </c>
      <c r="R51" s="25">
        <v>0.96819999999999995</v>
      </c>
      <c r="S51" s="25">
        <v>0.97250000000000003</v>
      </c>
      <c r="T51" s="25">
        <v>0.97609999999999997</v>
      </c>
      <c r="U51" s="25">
        <v>0.97909999999999997</v>
      </c>
      <c r="V51" s="26">
        <v>0.98150000000000004</v>
      </c>
    </row>
    <row r="52" spans="1:24">
      <c r="A52" s="19">
        <v>3800</v>
      </c>
      <c r="B52" s="25">
        <v>0.8246</v>
      </c>
      <c r="C52" s="25">
        <v>0.8296</v>
      </c>
      <c r="D52" s="25">
        <v>0.83620000000000005</v>
      </c>
      <c r="E52" s="25">
        <v>0.84350000000000003</v>
      </c>
      <c r="F52" s="25">
        <v>0.85119999999999996</v>
      </c>
      <c r="G52" s="25">
        <v>0.8659</v>
      </c>
      <c r="H52" s="25">
        <v>0.87949999999999995</v>
      </c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2"/>
    </row>
    <row r="53" spans="1:24">
      <c r="A53" s="19">
        <f>+A51+250</f>
        <v>4000</v>
      </c>
      <c r="B53" s="41"/>
      <c r="C53" s="41"/>
      <c r="D53" s="41"/>
      <c r="E53" s="41"/>
      <c r="F53" s="41"/>
      <c r="G53" s="41"/>
      <c r="H53" s="25">
        <v>0.86570000000000003</v>
      </c>
      <c r="I53" s="25">
        <v>0.87890000000000001</v>
      </c>
      <c r="J53" s="25">
        <v>0.98109999999999997</v>
      </c>
      <c r="K53" s="25">
        <v>0.90239999999999998</v>
      </c>
      <c r="L53" s="25">
        <v>0.91279999999999994</v>
      </c>
      <c r="M53" s="25">
        <v>0.92230000000000001</v>
      </c>
      <c r="N53" s="25">
        <v>0.93110000000000004</v>
      </c>
      <c r="O53" s="25">
        <v>0.93920000000000003</v>
      </c>
      <c r="P53" s="25">
        <v>0.94689999999999996</v>
      </c>
      <c r="Q53" s="25">
        <v>0.95409999999999995</v>
      </c>
      <c r="R53" s="25">
        <v>0.96030000000000004</v>
      </c>
      <c r="S53" s="25">
        <v>0.96550000000000002</v>
      </c>
      <c r="T53" s="25">
        <v>0.96989999999999998</v>
      </c>
      <c r="U53" s="25">
        <v>0.97360000000000002</v>
      </c>
      <c r="V53" s="26">
        <v>0.97670000000000001</v>
      </c>
    </row>
    <row r="54" spans="1:24">
      <c r="A54" s="19">
        <v>4150</v>
      </c>
      <c r="B54" s="25">
        <v>0.79720000000000002</v>
      </c>
      <c r="C54" s="25">
        <v>0.80249999999999999</v>
      </c>
      <c r="D54" s="25">
        <v>0.8095</v>
      </c>
      <c r="E54" s="25">
        <v>0.81730000000000003</v>
      </c>
      <c r="F54" s="25">
        <v>0.82530000000000003</v>
      </c>
      <c r="G54" s="25">
        <v>0.84099999999999997</v>
      </c>
      <c r="H54" s="25">
        <v>0.85560000000000003</v>
      </c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2"/>
    </row>
    <row r="55" spans="1:24">
      <c r="A55" s="19">
        <f>+A53+250</f>
        <v>4250</v>
      </c>
      <c r="B55" s="41"/>
      <c r="C55" s="41"/>
      <c r="D55" s="41"/>
      <c r="E55" s="41"/>
      <c r="F55" s="41"/>
      <c r="G55" s="41"/>
      <c r="H55" s="25">
        <v>0.84899999999999998</v>
      </c>
      <c r="I55" s="25">
        <v>0.8629</v>
      </c>
      <c r="J55" s="25">
        <v>0.87580000000000002</v>
      </c>
      <c r="K55" s="25">
        <v>0.88790000000000002</v>
      </c>
      <c r="L55" s="25">
        <v>0.89900000000000002</v>
      </c>
      <c r="M55" s="25">
        <v>0.90939999999999999</v>
      </c>
      <c r="N55" s="25">
        <v>0.91900000000000004</v>
      </c>
      <c r="O55" s="25">
        <v>0.92800000000000005</v>
      </c>
      <c r="P55" s="25">
        <v>0.93659999999999999</v>
      </c>
      <c r="Q55" s="25">
        <v>0.94469999999999998</v>
      </c>
      <c r="R55" s="25">
        <v>0.95179999999999998</v>
      </c>
      <c r="S55" s="25">
        <v>0.95779999999999998</v>
      </c>
      <c r="T55" s="25">
        <v>0.96299999999999997</v>
      </c>
      <c r="U55" s="25">
        <v>0.96740000000000004</v>
      </c>
      <c r="V55" s="26">
        <v>0.97130000000000005</v>
      </c>
    </row>
    <row r="56" spans="1:24">
      <c r="A56" s="19">
        <v>4300</v>
      </c>
      <c r="B56" s="25">
        <v>0.78639999999999999</v>
      </c>
      <c r="C56" s="25">
        <v>0.79179999999999995</v>
      </c>
      <c r="D56" s="25">
        <v>0.79890000000000005</v>
      </c>
      <c r="E56" s="25">
        <v>0.80669999999999997</v>
      </c>
      <c r="F56" s="25">
        <v>0.81489999999999996</v>
      </c>
      <c r="G56" s="25">
        <v>0.83079999999999998</v>
      </c>
      <c r="H56" s="25">
        <v>0.8458</v>
      </c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2"/>
    </row>
    <row r="57" spans="1:24">
      <c r="A57" s="19">
        <f>+A55+250</f>
        <v>4500</v>
      </c>
      <c r="B57" s="41"/>
      <c r="C57" s="41"/>
      <c r="D57" s="41"/>
      <c r="E57" s="41"/>
      <c r="F57" s="41"/>
      <c r="G57" s="41"/>
      <c r="H57" s="25">
        <v>0.83289999999999997</v>
      </c>
      <c r="I57" s="25">
        <v>0.84730000000000005</v>
      </c>
      <c r="J57" s="25">
        <v>0.86080000000000001</v>
      </c>
      <c r="K57" s="25">
        <v>0.87839999999999996</v>
      </c>
      <c r="L57" s="25">
        <v>0.88529999999999998</v>
      </c>
      <c r="M57" s="25">
        <v>0.89629999999999999</v>
      </c>
      <c r="N57" s="25">
        <v>0.90669999999999995</v>
      </c>
      <c r="O57" s="25">
        <v>0.91649999999999998</v>
      </c>
      <c r="P57" s="25">
        <v>0.92589999999999995</v>
      </c>
      <c r="Q57" s="25">
        <v>0.93479999999999996</v>
      </c>
      <c r="R57" s="25">
        <v>0.94259999999999999</v>
      </c>
      <c r="S57" s="25">
        <v>0.94950000000000001</v>
      </c>
      <c r="T57" s="25">
        <v>0.95540000000000003</v>
      </c>
      <c r="U57" s="25">
        <v>0.96060000000000001</v>
      </c>
      <c r="V57" s="26">
        <v>0.96509999999999996</v>
      </c>
    </row>
    <row r="58" spans="1:24">
      <c r="A58" s="19">
        <v>4650</v>
      </c>
      <c r="B58" s="25">
        <v>0.76229999999999998</v>
      </c>
      <c r="C58" s="25">
        <v>0.76780000000000004</v>
      </c>
      <c r="D58" s="25">
        <v>0.77500000000000002</v>
      </c>
      <c r="E58" s="25">
        <v>0.78310000000000002</v>
      </c>
      <c r="F58" s="25">
        <v>0.79149999999999998</v>
      </c>
      <c r="G58" s="25">
        <v>0.80789999999999995</v>
      </c>
      <c r="H58" s="25">
        <v>0.82340000000000002</v>
      </c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2"/>
    </row>
    <row r="59" spans="1:24" ht="13.8" thickBot="1">
      <c r="A59" s="22">
        <f>+A57+250</f>
        <v>4750</v>
      </c>
      <c r="B59" s="43"/>
      <c r="C59" s="43"/>
      <c r="D59" s="43"/>
      <c r="E59" s="43"/>
      <c r="F59" s="43"/>
      <c r="G59" s="43"/>
      <c r="H59" s="27">
        <v>0.81710000000000005</v>
      </c>
      <c r="I59" s="27">
        <v>0.83189999999999997</v>
      </c>
      <c r="J59" s="27">
        <v>0.84589999999999999</v>
      </c>
      <c r="K59" s="27">
        <v>0.85909999999999997</v>
      </c>
      <c r="L59" s="27">
        <v>0.87160000000000004</v>
      </c>
      <c r="M59" s="27">
        <v>0.88329999999999997</v>
      </c>
      <c r="N59" s="27">
        <v>0.89429999999999998</v>
      </c>
      <c r="O59" s="27">
        <v>0.90480000000000005</v>
      </c>
      <c r="P59" s="27">
        <v>0.91490000000000005</v>
      </c>
      <c r="Q59" s="27">
        <v>0.92449999999999999</v>
      </c>
      <c r="R59" s="27">
        <v>0.93300000000000005</v>
      </c>
      <c r="S59" s="27">
        <v>0.94059999999999999</v>
      </c>
      <c r="T59" s="27">
        <v>0.94720000000000004</v>
      </c>
      <c r="U59" s="27">
        <v>0.95309999999999995</v>
      </c>
      <c r="V59" s="28">
        <v>0.95820000000000005</v>
      </c>
    </row>
    <row r="60" spans="1:24" ht="13.8" thickBot="1">
      <c r="A60" s="20">
        <f>+A59+250</f>
        <v>5000</v>
      </c>
      <c r="B60" s="29">
        <v>0.73750000000000004</v>
      </c>
      <c r="C60" s="29">
        <v>0.74339999999999995</v>
      </c>
      <c r="D60" s="29">
        <v>0.75090000000000001</v>
      </c>
      <c r="E60" s="29">
        <v>0.75929999999999997</v>
      </c>
      <c r="F60" s="29">
        <v>0.76800000000000002</v>
      </c>
      <c r="G60" s="29">
        <v>0.78500000000000003</v>
      </c>
      <c r="H60" s="29">
        <v>0.80130000000000001</v>
      </c>
      <c r="I60" s="29">
        <v>0.81669999999999998</v>
      </c>
      <c r="J60" s="29">
        <v>0.83120000000000005</v>
      </c>
      <c r="K60" s="29">
        <v>0.84499999999999997</v>
      </c>
      <c r="L60" s="29">
        <v>0.85799999999999998</v>
      </c>
      <c r="M60" s="29">
        <v>0.87029999999999996</v>
      </c>
      <c r="N60" s="29">
        <v>0.88190000000000002</v>
      </c>
      <c r="O60" s="29">
        <v>0.89300000000000002</v>
      </c>
      <c r="P60" s="29">
        <v>0.90369999999999995</v>
      </c>
      <c r="Q60" s="29">
        <v>0.91390000000000005</v>
      </c>
      <c r="R60" s="29">
        <v>0.92300000000000004</v>
      </c>
      <c r="S60" s="29">
        <v>0.93110000000000004</v>
      </c>
      <c r="T60" s="29">
        <v>0.93840000000000001</v>
      </c>
      <c r="U60" s="29">
        <v>0.94479999999999997</v>
      </c>
      <c r="V60" s="30">
        <v>0.9506</v>
      </c>
    </row>
    <row r="61" spans="1:24" ht="13.8" thickTop="1"/>
    <row r="63" spans="1:24" ht="13.8" thickBot="1"/>
    <row r="64" spans="1:24" ht="13.8" thickTop="1">
      <c r="A64" s="31" t="s">
        <v>170</v>
      </c>
      <c r="B64" s="35" t="s">
        <v>171</v>
      </c>
      <c r="C64" s="35" t="s">
        <v>172</v>
      </c>
      <c r="D64" s="35" t="s">
        <v>173</v>
      </c>
      <c r="E64" s="36" t="s">
        <v>174</v>
      </c>
      <c r="H64" s="21" t="s">
        <v>175</v>
      </c>
      <c r="I64" s="21"/>
      <c r="J64" s="21" t="s">
        <v>176</v>
      </c>
      <c r="M64" s="21" t="s">
        <v>177</v>
      </c>
      <c r="Q64" s="49" t="s">
        <v>178</v>
      </c>
      <c r="X64" s="47">
        <f>+((9*P79-2*P77*P79^3)/(54*P77*L73^3))-(AA74/(2*P77*L73^2))</f>
        <v>84066.023114585652</v>
      </c>
    </row>
    <row r="65" spans="1:37" ht="13.8" thickBot="1">
      <c r="A65" s="34"/>
      <c r="B65" s="23" t="s">
        <v>179</v>
      </c>
      <c r="C65" s="23" t="s">
        <v>180</v>
      </c>
      <c r="D65" s="23" t="s">
        <v>181</v>
      </c>
      <c r="E65" s="24" t="s">
        <v>182</v>
      </c>
      <c r="H65" s="21" t="s">
        <v>183</v>
      </c>
      <c r="I65" s="21"/>
      <c r="J65" s="21" t="s">
        <v>184</v>
      </c>
      <c r="M65" s="21" t="s">
        <v>185</v>
      </c>
      <c r="Q65" s="48"/>
    </row>
    <row r="66" spans="1:37">
      <c r="A66" s="33" t="s">
        <v>186</v>
      </c>
      <c r="B66" s="15">
        <v>673</v>
      </c>
      <c r="C66" s="15">
        <v>344</v>
      </c>
      <c r="D66" s="15">
        <v>0.55400000000000005</v>
      </c>
      <c r="E66" s="16">
        <v>994</v>
      </c>
      <c r="Q66" s="49" t="s">
        <v>187</v>
      </c>
      <c r="U66" s="47">
        <f>+(X64+(X64^2+L81^3)^0.5)^0.3333</f>
        <v>57.65920940618841</v>
      </c>
    </row>
    <row r="67" spans="1:37">
      <c r="A67" s="33" t="s">
        <v>188</v>
      </c>
      <c r="B67" s="15">
        <v>712</v>
      </c>
      <c r="C67" s="15">
        <v>550</v>
      </c>
      <c r="D67" s="15">
        <v>1.038</v>
      </c>
      <c r="E67" s="16">
        <v>1742</v>
      </c>
      <c r="H67" s="21" t="s">
        <v>189</v>
      </c>
      <c r="I67" s="45">
        <f>(+MEDGAS1!D20*Fpv!B76+MEDGAS1!D21*Fpv!B77+MEDGAS1!D22*Fpv!B66+MEDGAS1!D23*Fpv!B67+MEDGAS1!D24*Fpv!B68+MEDGAS1!D25*Fpv!B69+MEDGAS1!D26*Fpv!B70+MEDGAS1!D27*Fpv!B71+MEDGAS1!D28*Fpv!B72)/100</f>
        <v>659.08048000000008</v>
      </c>
      <c r="L67" s="21" t="s">
        <v>190</v>
      </c>
      <c r="M67" s="45">
        <f>9*MEDGAS1!D17/5+32</f>
        <v>59</v>
      </c>
      <c r="N67" s="21" t="s">
        <v>191</v>
      </c>
      <c r="Q67" s="48"/>
    </row>
    <row r="68" spans="1:37">
      <c r="A68" s="33" t="s">
        <v>192</v>
      </c>
      <c r="B68" s="15">
        <v>617</v>
      </c>
      <c r="C68" s="15">
        <v>666</v>
      </c>
      <c r="D68" s="15">
        <v>1.5229999999999999</v>
      </c>
      <c r="E68" s="16">
        <v>2479</v>
      </c>
      <c r="H68" s="21" t="s">
        <v>193</v>
      </c>
      <c r="I68" s="45">
        <f>(+MEDGAS1!D20*Fpv!C76+MEDGAS1!D21*Fpv!C77+MEDGAS1!D22*Fpv!C66+MEDGAS1!D23*Fpv!C67+MEDGAS1!D24*Fpv!C68+MEDGAS1!D25*Fpv!C69+MEDGAS1!D26*Fpv!C70+MEDGAS1!D27*Fpv!C71+MEDGAS1!D28*Fpv!C72)/100</f>
        <v>361.78626000000003</v>
      </c>
      <c r="L68" s="21" t="s">
        <v>194</v>
      </c>
      <c r="M68" s="47">
        <f>+MEDGAS1!J35*14.223+14.7</f>
        <v>71.591999999999999</v>
      </c>
      <c r="N68" s="21" t="s">
        <v>179</v>
      </c>
      <c r="Q68" s="49" t="s">
        <v>195</v>
      </c>
      <c r="W68" s="56">
        <f>+(L81/U66-U66+(P79/(3*L73)))^0.5/(1+(0.00132/(L75^3.25)))</f>
        <v>1.0219634235373123</v>
      </c>
    </row>
    <row r="69" spans="1:37">
      <c r="A69" s="33" t="s">
        <v>196</v>
      </c>
      <c r="B69" s="15">
        <v>529</v>
      </c>
      <c r="C69" s="15">
        <v>734</v>
      </c>
      <c r="D69" s="15">
        <v>2.0059999999999998</v>
      </c>
      <c r="E69" s="16">
        <v>3203</v>
      </c>
      <c r="Q69" s="48"/>
    </row>
    <row r="70" spans="1:37">
      <c r="A70" s="33" t="s">
        <v>197</v>
      </c>
      <c r="B70" s="15">
        <v>551</v>
      </c>
      <c r="C70" s="15">
        <v>766</v>
      </c>
      <c r="D70" s="15">
        <v>2.0059999999999998</v>
      </c>
      <c r="E70" s="16">
        <v>3213</v>
      </c>
      <c r="H70" s="21" t="s">
        <v>27</v>
      </c>
      <c r="I70" s="45">
        <f>671.4/I67</f>
        <v>1.0186919812888404</v>
      </c>
      <c r="J70" s="21" t="s">
        <v>198</v>
      </c>
      <c r="K70" s="21" t="s">
        <v>199</v>
      </c>
      <c r="L70" s="45">
        <f>+(MEDGAS1!J35*14.223)*I70</f>
        <v>57.95542419948471</v>
      </c>
      <c r="M70" s="21" t="s">
        <v>200</v>
      </c>
      <c r="Q70" s="49" t="s">
        <v>201</v>
      </c>
      <c r="R70" s="46"/>
      <c r="AC70" s="57" t="e">
        <f>1-0.00075*(L73)^2.3*(2.7182818)^-(20*(L75-1.09))-0.0011*(L75-1.09)^0.5*(L73)^2*(2.17+1.4*(L75-1.09)^0.5-L73)^2</f>
        <v>#NUM!</v>
      </c>
    </row>
    <row r="71" spans="1:37">
      <c r="A71" s="33" t="s">
        <v>202</v>
      </c>
      <c r="B71" s="15">
        <v>483</v>
      </c>
      <c r="C71" s="15">
        <v>830</v>
      </c>
      <c r="D71" s="15">
        <v>2.4900000000000002</v>
      </c>
      <c r="E71" s="16">
        <v>3939</v>
      </c>
      <c r="H71" s="21" t="s">
        <v>30</v>
      </c>
      <c r="I71" s="45">
        <f>359.46/I68</f>
        <v>0.99357007090319005</v>
      </c>
      <c r="J71" s="21" t="s">
        <v>198</v>
      </c>
      <c r="K71" s="21" t="s">
        <v>203</v>
      </c>
      <c r="L71" s="45">
        <f>+(M67+460)*I71-460</f>
        <v>55.662866798755658</v>
      </c>
      <c r="M71" s="21" t="s">
        <v>191</v>
      </c>
      <c r="Q71" s="51" t="s">
        <v>204</v>
      </c>
      <c r="R71" s="52"/>
      <c r="S71" s="53" t="s">
        <v>205</v>
      </c>
      <c r="T71" s="52"/>
      <c r="U71" s="52"/>
    </row>
    <row r="72" spans="1:37">
      <c r="A72" s="33" t="s">
        <v>206</v>
      </c>
      <c r="B72" s="15">
        <v>485</v>
      </c>
      <c r="C72" s="15">
        <v>846</v>
      </c>
      <c r="D72" s="15">
        <v>2.4900000000000002</v>
      </c>
      <c r="E72" s="16">
        <v>3948</v>
      </c>
      <c r="Q72" s="51" t="s">
        <v>207</v>
      </c>
      <c r="R72" s="52"/>
      <c r="S72" s="53" t="s">
        <v>208</v>
      </c>
      <c r="T72" s="54"/>
      <c r="U72" s="52"/>
    </row>
    <row r="73" spans="1:37">
      <c r="A73" s="33" t="s">
        <v>209</v>
      </c>
      <c r="B73" s="15">
        <v>440</v>
      </c>
      <c r="C73" s="15">
        <v>911</v>
      </c>
      <c r="D73" s="15">
        <v>2.9729999999999999</v>
      </c>
      <c r="E73" s="16">
        <v>4684</v>
      </c>
      <c r="H73" s="21" t="s">
        <v>210</v>
      </c>
      <c r="I73" s="44" t="s">
        <v>211</v>
      </c>
      <c r="L73" s="45">
        <f>+(L70+14.7)/1000</f>
        <v>7.2655424199484717E-2</v>
      </c>
      <c r="Q73" s="48"/>
      <c r="S73" s="21"/>
      <c r="T73" s="21"/>
    </row>
    <row r="74" spans="1:37">
      <c r="A74" s="33" t="s">
        <v>212</v>
      </c>
      <c r="B74" s="15">
        <v>400</v>
      </c>
      <c r="C74" s="15">
        <v>972</v>
      </c>
      <c r="D74" s="15">
        <v>3.46</v>
      </c>
      <c r="E74" s="16">
        <v>5420</v>
      </c>
      <c r="I74" s="21"/>
      <c r="L74" s="21"/>
      <c r="Q74" s="49" t="s">
        <v>213</v>
      </c>
      <c r="S74" s="21"/>
      <c r="AA74" s="50">
        <f>1-0.00075*(L73)^2.3*(2-(2.7182818)^-(20*(1.09-L75)))-1.317*(1.09-L75)^4*L73*(1.69-L73^2)</f>
        <v>0.99999504115860771</v>
      </c>
    </row>
    <row r="75" spans="1:37">
      <c r="A75" s="33" t="s">
        <v>214</v>
      </c>
      <c r="B75" s="15">
        <v>361</v>
      </c>
      <c r="C75" s="15">
        <v>1025</v>
      </c>
      <c r="D75" s="15">
        <v>3.9430000000000001</v>
      </c>
      <c r="E75" s="16">
        <v>6153</v>
      </c>
      <c r="H75" s="21" t="s">
        <v>215</v>
      </c>
      <c r="I75" s="44" t="s">
        <v>216</v>
      </c>
      <c r="L75" s="45">
        <f>+(L71+460)/500</f>
        <v>1.0313257335975112</v>
      </c>
      <c r="Q75" s="51" t="s">
        <v>217</v>
      </c>
      <c r="R75" s="52"/>
      <c r="S75" s="53" t="s">
        <v>218</v>
      </c>
      <c r="T75" s="52"/>
    </row>
    <row r="76" spans="1:37">
      <c r="A76" s="33" t="s">
        <v>219</v>
      </c>
      <c r="B76" s="15">
        <v>1072</v>
      </c>
      <c r="C76" s="15">
        <v>510</v>
      </c>
      <c r="D76" s="15">
        <v>1.5189999999999999</v>
      </c>
      <c r="E76" s="16"/>
      <c r="Q76" s="51" t="s">
        <v>220</v>
      </c>
      <c r="R76" s="52"/>
      <c r="S76" s="55" t="s">
        <v>221</v>
      </c>
      <c r="T76" s="54"/>
    </row>
    <row r="77" spans="1:37">
      <c r="A77" s="33" t="s">
        <v>222</v>
      </c>
      <c r="B77" s="15">
        <v>492</v>
      </c>
      <c r="C77" s="15">
        <v>216</v>
      </c>
      <c r="D77" s="15">
        <v>0.96699999999999997</v>
      </c>
      <c r="E77" s="16"/>
      <c r="H77" s="44" t="s">
        <v>223</v>
      </c>
      <c r="P77" s="47">
        <f>0.0330378*(L75^-2)-0.0221323*(L75^-3)+0.0161353*(L75^-5)</f>
        <v>2.4714325313196384E-2</v>
      </c>
      <c r="Q77" s="48"/>
    </row>
    <row r="78" spans="1:37">
      <c r="A78" s="33" t="s">
        <v>224</v>
      </c>
      <c r="B78" s="15">
        <v>547</v>
      </c>
      <c r="C78" s="15">
        <v>239</v>
      </c>
      <c r="D78" s="15">
        <v>1</v>
      </c>
      <c r="E78" s="16"/>
      <c r="Q78" s="49" t="s">
        <v>225</v>
      </c>
      <c r="AK78" s="50">
        <f>1-0.00075*(L73^2.3)*(2-2.7182818^(-(20*(1.09-L75))))+0.455*(200*(1.09-L75)^6-0.03249*(1.09-L75)+2.0167*(1.09-L75)^2-18.028*(1.09-L75)^3+42.844*(1.09-L75)^4)*(L73-1.3)*(1.69*(2^1.25)-L73^2)</f>
        <v>0.99571332671208479</v>
      </c>
    </row>
    <row r="79" spans="1:37">
      <c r="A79" s="33" t="s">
        <v>226</v>
      </c>
      <c r="B79" s="15">
        <v>731</v>
      </c>
      <c r="C79" s="15">
        <v>278</v>
      </c>
      <c r="D79" s="15">
        <v>1.105</v>
      </c>
      <c r="E79" s="16"/>
      <c r="H79" s="44" t="s">
        <v>227</v>
      </c>
      <c r="P79" s="47">
        <f>+(0.265827*(L75^-2)+0.0457697*(L75^-4)-0.133185*(L75^-1))/P77</f>
        <v>6.5241978774785077</v>
      </c>
      <c r="Q79" s="51" t="s">
        <v>228</v>
      </c>
      <c r="R79" s="52"/>
      <c r="S79" s="53" t="s">
        <v>229</v>
      </c>
      <c r="T79" s="52"/>
    </row>
    <row r="80" spans="1:37">
      <c r="A80" s="33" t="s">
        <v>230</v>
      </c>
      <c r="B80" s="15">
        <v>33</v>
      </c>
      <c r="C80" s="15">
        <v>10</v>
      </c>
      <c r="D80" s="15">
        <v>0.13800000000000001</v>
      </c>
      <c r="E80" s="16"/>
      <c r="Q80" s="51" t="s">
        <v>231</v>
      </c>
      <c r="R80" s="52"/>
      <c r="S80" s="55" t="s">
        <v>232</v>
      </c>
      <c r="T80" s="54"/>
    </row>
    <row r="81" spans="1:39">
      <c r="A81" s="33" t="s">
        <v>233</v>
      </c>
      <c r="B81" s="15">
        <v>188</v>
      </c>
      <c r="C81" s="15">
        <v>60</v>
      </c>
      <c r="D81" s="15">
        <v>7.0000000000000007E-2</v>
      </c>
      <c r="E81" s="16">
        <v>319</v>
      </c>
      <c r="H81" s="44" t="s">
        <v>234</v>
      </c>
      <c r="L81" s="45">
        <f>+(3-P77*P79^2)/(9*P77*L73^2)</f>
        <v>1659.0843782165368</v>
      </c>
      <c r="Q81" s="48"/>
    </row>
    <row r="82" spans="1:39" ht="13.8" thickBot="1">
      <c r="A82" s="32" t="s">
        <v>235</v>
      </c>
      <c r="B82" s="17">
        <v>1306</v>
      </c>
      <c r="C82" s="17">
        <v>678</v>
      </c>
      <c r="D82" s="17">
        <v>1.1759999999999999</v>
      </c>
      <c r="E82" s="18">
        <v>630</v>
      </c>
      <c r="Q82" s="49" t="s">
        <v>236</v>
      </c>
      <c r="AM82" s="50">
        <f>1-0.00075*(L73^2.3)*(2-2.7182818^(-(20*(1.09-L75))))+0.455*(200*(1.09-L75)^6-0.03249*(1.09-L75)+2.0167*(1.09-L75)^2-18.028*(1.09-L75)^3+42.844*(1.09-L75)^4)*(L73-1.3)*(1.69*2^(1.25+80*(0.88-L75)^2)-L73^2)</f>
        <v>0.98473196890511494</v>
      </c>
    </row>
    <row r="83" spans="1:39" ht="13.8" thickTop="1">
      <c r="G83" s="44" t="s">
        <v>237</v>
      </c>
      <c r="H83" s="44"/>
      <c r="O83" s="58">
        <f>1.7172-2.33123*L75-1.56796*(L75^2)+3.47644*(L75^3)-1.28603*(L75^4)</f>
        <v>3.7915468654041717E-3</v>
      </c>
      <c r="Q83" s="51" t="s">
        <v>228</v>
      </c>
      <c r="R83" s="52"/>
      <c r="S83" s="53" t="s">
        <v>229</v>
      </c>
      <c r="T83" s="52"/>
    </row>
    <row r="84" spans="1:39">
      <c r="Q84" s="51" t="s">
        <v>238</v>
      </c>
      <c r="R84" s="52"/>
      <c r="S84" s="55" t="s">
        <v>239</v>
      </c>
      <c r="T84" s="54"/>
    </row>
    <row r="85" spans="1:39">
      <c r="G85" s="44" t="s">
        <v>240</v>
      </c>
      <c r="H85" s="44"/>
      <c r="P85" s="58">
        <f>0.016299-0.028094*L75+0.48782*(L75^2)-0.728221*(L75^3)+0.27839*(L75^4)</f>
        <v>2.2309592292198366E-2</v>
      </c>
      <c r="Q85" s="48"/>
    </row>
    <row r="86" spans="1:39">
      <c r="G86" s="44"/>
      <c r="H86" s="44"/>
      <c r="Q86" s="49" t="s">
        <v>241</v>
      </c>
      <c r="S86" s="50">
        <f>1-0.00075*(2^2.3)*(2-2.7182818^(-(20*(1.09-L75))))+0.455*(200*(1.09-L75)^6-0.03249*(1.09-L75)+2.0167*(1.09-L75)^2-18.028*(1.09-L75)^3+42.844*(1.09-L75)^4)*(2-1.3)*(1.69*2^(1.25+80*(0.88-L75)^2)-2^2)-M93</f>
        <v>0.88738519774056945</v>
      </c>
      <c r="V86" s="47" t="s">
        <v>242</v>
      </c>
    </row>
    <row r="87" spans="1:39">
      <c r="G87" s="44" t="s">
        <v>243</v>
      </c>
      <c r="H87" s="44"/>
      <c r="P87" s="58">
        <f>-0.35978+0.51419*L75+0.16453*(L75^2)-0.52216*(L75^3)+0.19687*(L75^4)</f>
        <v>-4.5455788041029455E-3</v>
      </c>
      <c r="Q87" s="51" t="s">
        <v>228</v>
      </c>
      <c r="R87" s="52"/>
      <c r="S87" s="53" t="s">
        <v>229</v>
      </c>
      <c r="T87" s="52"/>
    </row>
    <row r="88" spans="1:39">
      <c r="G88" s="44"/>
      <c r="H88" s="44"/>
      <c r="Q88" s="51" t="s">
        <v>238</v>
      </c>
      <c r="R88" s="52"/>
      <c r="S88" s="55" t="s">
        <v>239</v>
      </c>
      <c r="T88" s="54"/>
    </row>
    <row r="89" spans="1:39">
      <c r="G89" s="44" t="s">
        <v>244</v>
      </c>
      <c r="H89" s="44"/>
      <c r="P89" s="58">
        <f>0.075255-0.10573*L75-0.058598*(L75^2)+0.14416*(L75^3)-0.054533*(L75^4)</f>
        <v>3.2877252901781368E-4</v>
      </c>
      <c r="Q89" s="48"/>
    </row>
    <row r="90" spans="1:39">
      <c r="G90" s="44"/>
      <c r="H90" s="44"/>
      <c r="Q90" s="49" t="s">
        <v>245</v>
      </c>
      <c r="S90" s="50">
        <f>1-0.00075*(2^2.3)*(2-2.7182818^(-(20*(1.09-L75))))+0.455*(200*(1.09-L75)^6-0.03249*(1.09-L75)+2.0167*(1.09-L75)^2-18.028*(1.09-L75)^3+42.844*(1.09-L75)^4)*(2-1.3)*(1.69*(2^1.25)-2^2)+M93</f>
        <v>1.1064125664676192</v>
      </c>
      <c r="V90" s="47" t="s">
        <v>242</v>
      </c>
      <c r="X90" s="58" t="s">
        <v>246</v>
      </c>
    </row>
    <row r="91" spans="1:39">
      <c r="G91" s="44" t="s">
        <v>247</v>
      </c>
      <c r="H91" s="44"/>
      <c r="O91" s="58">
        <f>+(L75-1.32)^2*(L73-2)*(3-1.483*(L73-2)-0.1*(L73-2)^2+0.0833*(L73-2)^3)</f>
        <v>-0.78545343961436076</v>
      </c>
      <c r="Q91" s="51" t="s">
        <v>248</v>
      </c>
      <c r="S91" s="53" t="s">
        <v>249</v>
      </c>
      <c r="T91" s="52"/>
    </row>
    <row r="92" spans="1:39">
      <c r="G92" s="44"/>
      <c r="H92" s="44"/>
      <c r="Q92" s="51" t="s">
        <v>231</v>
      </c>
      <c r="S92" s="55" t="s">
        <v>232</v>
      </c>
      <c r="T92" s="54"/>
    </row>
    <row r="93" spans="1:39">
      <c r="G93" s="44" t="s">
        <v>250</v>
      </c>
      <c r="H93" s="44"/>
      <c r="M93" s="58">
        <f>+O83*(L73-2)+P85*(L73-2)^2+P87*(L73-2)^3+P89*(L73-2)^4</f>
        <v>0.11264522159293951</v>
      </c>
      <c r="Q93" s="48"/>
    </row>
    <row r="94" spans="1:39">
      <c r="Q94" s="49" t="s">
        <v>251</v>
      </c>
      <c r="S94" s="57" t="e">
        <f>1-0.00075*(2)^2.3*(2.7182818)^-(20*(L75-1.09))-0.0011*(L75-1.09)^0.5*(2)^2*(2.17+1.4*(L75-1.09)^0.5-2)^2-M93</f>
        <v>#NUM!</v>
      </c>
      <c r="V94" s="47" t="s">
        <v>242</v>
      </c>
    </row>
    <row r="95" spans="1:39" ht="13.8" thickBot="1">
      <c r="Q95" s="51" t="s">
        <v>248</v>
      </c>
      <c r="S95" s="53" t="s">
        <v>249</v>
      </c>
      <c r="T95" s="52"/>
    </row>
    <row r="96" spans="1:39">
      <c r="G96" s="59" t="s">
        <v>252</v>
      </c>
      <c r="H96" s="60" t="s">
        <v>253</v>
      </c>
      <c r="I96" s="60" t="s">
        <v>254</v>
      </c>
      <c r="J96" s="60" t="s">
        <v>255</v>
      </c>
      <c r="K96" s="60" t="s">
        <v>256</v>
      </c>
      <c r="L96" s="60" t="s">
        <v>257</v>
      </c>
      <c r="M96" s="60" t="s">
        <v>258</v>
      </c>
      <c r="N96" s="61" t="s">
        <v>259</v>
      </c>
      <c r="Q96" s="51" t="s">
        <v>260</v>
      </c>
      <c r="S96" s="53" t="s">
        <v>261</v>
      </c>
      <c r="T96" s="54"/>
    </row>
    <row r="97" spans="7:20" ht="13.8" thickBot="1">
      <c r="G97" s="64" t="e">
        <f>+AC70</f>
        <v>#NUM!</v>
      </c>
      <c r="H97" s="62">
        <f>+AA74</f>
        <v>0.99999504115860771</v>
      </c>
      <c r="I97" s="62">
        <f>+AK78</f>
        <v>0.99571332671208479</v>
      </c>
      <c r="J97" s="62">
        <f>+AM82</f>
        <v>0.98473196890511494</v>
      </c>
      <c r="K97" s="62">
        <f>+S86</f>
        <v>0.88738519774056945</v>
      </c>
      <c r="L97" s="62">
        <f>+S90</f>
        <v>1.1064125664676192</v>
      </c>
      <c r="M97" s="62" t="e">
        <f>+S94</f>
        <v>#NUM!</v>
      </c>
      <c r="N97" s="63" t="e">
        <f>+S98</f>
        <v>#NUM!</v>
      </c>
      <c r="Q97" s="48"/>
    </row>
    <row r="98" spans="7:20">
      <c r="Q98" s="49" t="s">
        <v>262</v>
      </c>
      <c r="S98" s="50" t="e">
        <f>+S94-O91</f>
        <v>#NUM!</v>
      </c>
    </row>
    <row r="99" spans="7:20">
      <c r="Q99" s="51" t="s">
        <v>248</v>
      </c>
      <c r="S99" s="53" t="s">
        <v>249</v>
      </c>
      <c r="T99" s="52"/>
    </row>
    <row r="100" spans="7:20">
      <c r="Q100" s="51" t="s">
        <v>263</v>
      </c>
      <c r="S100" s="53" t="s">
        <v>264</v>
      </c>
      <c r="T100" s="54"/>
    </row>
  </sheetData>
  <sheetProtection password="C8E5" sheet="1" objects="1" scenarios="1"/>
  <phoneticPr fontId="5" type="noConversion"/>
  <pageMargins left="0.25" right="0.25" top="1" bottom="1" header="0.511811024" footer="0.511811024"/>
  <pageSetup paperSize="9" scale="47" orientation="landscape" horizontalDpi="300" verticalDpi="300" r:id="rId1"/>
  <headerFooter alignWithMargins="0">
    <oddHeader>&amp;A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MEDGAS1</vt:lpstr>
      <vt:lpstr>Fpv</vt:lpstr>
      <vt:lpstr>Fpv!Área_de_impresión</vt:lpstr>
      <vt:lpstr>MEDGAS1!Área_de_impresión</vt:lpstr>
      <vt:lpstr>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SECTOR MANTENIMIENTO</dc:creator>
  <cp:lastModifiedBy>ignacio gomez</cp:lastModifiedBy>
  <cp:lastPrinted>2023-09-27T13:11:54Z</cp:lastPrinted>
  <dcterms:created xsi:type="dcterms:W3CDTF">1998-02-28T19:29:35Z</dcterms:created>
  <dcterms:modified xsi:type="dcterms:W3CDTF">2025-08-25T14:06:34Z</dcterms:modified>
</cp:coreProperties>
</file>