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baldoni\Desktop\Files soliton duration\"/>
    </mc:Choice>
  </mc:AlternateContent>
  <bookViews>
    <workbookView xWindow="0" yWindow="0" windowWidth="2160" windowHeight="0" activeTab="2"/>
  </bookViews>
  <sheets>
    <sheet name="Tabelle1" sheetId="1" r:id="rId1"/>
    <sheet name="Tabelle2" sheetId="2" r:id="rId2"/>
    <sheet name="Tabelle3" sheetId="3" r:id="rId3"/>
  </sheets>
  <definedNames>
    <definedName name="solver_adj" localSheetId="0" hidden="1">Tabelle1!$F$35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Tabelle1!$F$38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0.5</definedName>
  </definedNames>
  <calcPr calcId="152511"/>
</workbook>
</file>

<file path=xl/calcChain.xml><?xml version="1.0" encoding="utf-8"?>
<calcChain xmlns="http://schemas.openxmlformats.org/spreadsheetml/2006/main">
  <c r="F11" i="2" l="1"/>
  <c r="F8" i="2"/>
  <c r="G3" i="3"/>
  <c r="O21" i="2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21" i="2"/>
  <c r="K11" i="2"/>
  <c r="K10" i="2"/>
  <c r="C41" i="3" l="1"/>
  <c r="C40" i="3"/>
  <c r="D40" i="3"/>
  <c r="C38" i="3"/>
  <c r="C37" i="3"/>
  <c r="C54" i="3"/>
  <c r="C55" i="3"/>
  <c r="C30" i="3"/>
  <c r="C29" i="3"/>
  <c r="C28" i="3"/>
  <c r="C39" i="3" l="1"/>
  <c r="D41" i="3"/>
  <c r="C31" i="3"/>
  <c r="D31" i="3" s="1"/>
  <c r="C51" i="3"/>
  <c r="M12" i="3"/>
  <c r="M13" i="3" s="1"/>
  <c r="M16" i="3"/>
  <c r="D16" i="3"/>
  <c r="C52" i="3"/>
  <c r="C22" i="3"/>
  <c r="C21" i="3"/>
  <c r="C23" i="3" s="1"/>
  <c r="D23" i="3" s="1"/>
  <c r="C13" i="3"/>
  <c r="D55" i="3" s="1"/>
  <c r="C12" i="3"/>
  <c r="C14" i="3"/>
  <c r="E4" i="3"/>
  <c r="G21" i="3" s="1"/>
  <c r="G10" i="3"/>
  <c r="H3" i="3"/>
  <c r="F4" i="1"/>
  <c r="F11" i="1"/>
  <c r="D7" i="1"/>
  <c r="F6" i="1"/>
  <c r="G4" i="1"/>
  <c r="F8" i="1"/>
  <c r="C20" i="3"/>
  <c r="G5" i="3" l="1"/>
  <c r="G7" i="3" s="1"/>
  <c r="C44" i="3"/>
  <c r="C53" i="3"/>
  <c r="D54" i="3"/>
  <c r="M15" i="3"/>
  <c r="O13" i="3"/>
  <c r="G9" i="3"/>
  <c r="C57" i="3" l="1"/>
  <c r="C59" i="3" s="1"/>
  <c r="D53" i="3"/>
  <c r="D39" i="3"/>
  <c r="C43" i="3"/>
  <c r="M17" i="3"/>
  <c r="O17" i="3" s="1"/>
  <c r="O15" i="3"/>
</calcChain>
</file>

<file path=xl/sharedStrings.xml><?xml version="1.0" encoding="utf-8"?>
<sst xmlns="http://schemas.openxmlformats.org/spreadsheetml/2006/main" count="124" uniqueCount="65">
  <si>
    <t>Solitonen</t>
  </si>
  <si>
    <t>Wellenlänge nm</t>
  </si>
  <si>
    <t>Faserquerschnitt µm²</t>
  </si>
  <si>
    <t>Pulsdauer fs</t>
  </si>
  <si>
    <t>Faserdispersion [fs/nm*m]</t>
  </si>
  <si>
    <t>n2 m²/W</t>
  </si>
  <si>
    <t>Nichtlinearität gamma 1/[m*W]</t>
  </si>
  <si>
    <t>Pulsbreite [FWHM] nm</t>
  </si>
  <si>
    <t>Solitonenenergie nJ</t>
  </si>
  <si>
    <t>B2 [fs²]</t>
  </si>
  <si>
    <t>Solitonenlänge [m]</t>
  </si>
  <si>
    <t>Soliton number</t>
  </si>
  <si>
    <t>P0</t>
  </si>
  <si>
    <t>gamma0</t>
  </si>
  <si>
    <t>beta2</t>
  </si>
  <si>
    <t>1/W*km</t>
  </si>
  <si>
    <t>ps^2/km</t>
  </si>
  <si>
    <t>W</t>
  </si>
  <si>
    <t>Nichtlinearität gamma 1/[m*W] RP</t>
  </si>
  <si>
    <t>fs</t>
  </si>
  <si>
    <t>To in anomalous fiber</t>
  </si>
  <si>
    <t>Normal fiber</t>
  </si>
  <si>
    <t>gamma</t>
  </si>
  <si>
    <t>To in normal fiber</t>
  </si>
  <si>
    <t>Solitonenenergie [nJ]</t>
  </si>
  <si>
    <t>Pulsbreite (FWHM) [nm]</t>
  </si>
  <si>
    <t>N</t>
  </si>
  <si>
    <t>T0</t>
  </si>
  <si>
    <t>Duration for fundamental soliton</t>
  </si>
  <si>
    <t>kW</t>
  </si>
  <si>
    <t>n2 [m²/W]</t>
  </si>
  <si>
    <t>Wavelength</t>
  </si>
  <si>
    <t>nm</t>
  </si>
  <si>
    <t>Fiber dispersion</t>
  </si>
  <si>
    <t>fs/nm*m</t>
  </si>
  <si>
    <t>µm²</t>
  </si>
  <si>
    <t xml:space="preserve">Mode area  pi (MFD/2)² </t>
  </si>
  <si>
    <t>fs²</t>
  </si>
  <si>
    <t>speed of light</t>
  </si>
  <si>
    <t>1/m*W</t>
  </si>
  <si>
    <t>Average power</t>
  </si>
  <si>
    <t>Repetition rate</t>
  </si>
  <si>
    <t>Peak power</t>
  </si>
  <si>
    <t>Soliton pulse duration after main amplifier</t>
  </si>
  <si>
    <t>Soliton pulse duration before main amplifier</t>
  </si>
  <si>
    <t>GHz</t>
  </si>
  <si>
    <t>mW</t>
  </si>
  <si>
    <t>T0 from prestage</t>
  </si>
  <si>
    <t>P0 output</t>
  </si>
  <si>
    <t>N soliton</t>
  </si>
  <si>
    <t>Rep rate</t>
  </si>
  <si>
    <t>Energy per pulse</t>
  </si>
  <si>
    <t>J</t>
  </si>
  <si>
    <t>pJ</t>
  </si>
  <si>
    <t>Tau per pulse</t>
  </si>
  <si>
    <t>s</t>
  </si>
  <si>
    <t>Soliton pulse duration after my prestages and before main amplifier</t>
  </si>
  <si>
    <t>Condition for fiber soliton existence after Peter's prestage</t>
  </si>
  <si>
    <t>soliton energy</t>
  </si>
  <si>
    <t>Needed average power [W]</t>
  </si>
  <si>
    <t xml:space="preserve"> --&gt; Necessary pulse energy for fiber soliton generation</t>
  </si>
  <si>
    <t>Expected</t>
  </si>
  <si>
    <t>Algorithm</t>
  </si>
  <si>
    <t>AK width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</si>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</sst>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0.0000"/>
    <numFmt numFmtId="165" formatCode="0.000"/>
    <numFmt numFmtId="166" formatCode="0.000E+00"/>
    <numFmt numFmtId="167" formatCode="_-* #,##0.000\ _€_-;\-* #,##0.000\ _€_-;_-* &quot;-&quot;??\ _€_-;_-@_-"/>
    <numFmt numFmtId="168" formatCode="_-* #,##0.00000\ _€_-;\-* #,##0.00000\ _€_-;_-* &quot;-&quot;??\ _€_-;_-@_-"/>
    <numFmt numFmtId="170" formatCode="0.0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36">
    <xf numFmtId="0" fontId="0" fillId="0" borderId="0" xfId="0"/>
    <xf numFmtId="11" fontId="0" fillId="0" borderId="0" xfId="0" applyNumberForma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3" fillId="0" borderId="0" xfId="2"/>
    <xf numFmtId="11" fontId="3" fillId="0" borderId="0" xfId="2" applyNumberFormat="1"/>
    <xf numFmtId="0" fontId="5" fillId="0" borderId="0" xfId="2" applyFont="1"/>
    <xf numFmtId="0" fontId="6" fillId="0" borderId="0" xfId="2" applyFont="1"/>
    <xf numFmtId="165" fontId="3" fillId="0" borderId="0" xfId="2" applyNumberFormat="1"/>
    <xf numFmtId="166" fontId="3" fillId="0" borderId="0" xfId="2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1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/>
    <xf numFmtId="2" fontId="0" fillId="0" borderId="5" xfId="0" applyNumberFormat="1" applyBorder="1" applyAlignment="1">
      <alignment horizontal="center"/>
    </xf>
    <xf numFmtId="0" fontId="0" fillId="0" borderId="7" xfId="0" applyBorder="1"/>
    <xf numFmtId="43" fontId="0" fillId="0" borderId="0" xfId="1" applyFont="1"/>
    <xf numFmtId="167" fontId="0" fillId="0" borderId="0" xfId="1" applyNumberFormat="1" applyFont="1"/>
    <xf numFmtId="0" fontId="7" fillId="0" borderId="0" xfId="0" applyFont="1"/>
    <xf numFmtId="43" fontId="0" fillId="0" borderId="0" xfId="0" applyNumberFormat="1"/>
    <xf numFmtId="168" fontId="0" fillId="0" borderId="0" xfId="1" applyNumberFormat="1" applyFont="1"/>
    <xf numFmtId="165" fontId="7" fillId="0" borderId="0" xfId="0" applyNumberFormat="1" applyFont="1"/>
    <xf numFmtId="0" fontId="2" fillId="0" borderId="0" xfId="0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</cellXfs>
  <cellStyles count="4">
    <cellStyle name="Komma" xfId="1" builtinId="3"/>
    <cellStyle name="Standard" xfId="0" builtinId="0"/>
    <cellStyle name="Standard 2" xfId="2"/>
    <cellStyle name="Standard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7791741472172"/>
          <c:y val="7.1428667245271776E-2"/>
          <c:w val="0.82226211849192099"/>
          <c:h val="0.7390119803453119"/>
        </c:manualLayout>
      </c:layout>
      <c:scatterChart>
        <c:scatterStyle val="lineMarker"/>
        <c:varyColors val="0"/>
        <c:ser>
          <c:idx val="0"/>
          <c:order val="0"/>
          <c:tx>
            <c:v>Spectrum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Tabelle1!$A$39:$A$330</c:f>
              <c:numCache>
                <c:formatCode>General</c:formatCode>
                <c:ptCount val="292"/>
              </c:numCache>
            </c:numRef>
          </c:xVal>
          <c:yVal>
            <c:numRef>
              <c:f>Tabelle1!$B$39:$B$330</c:f>
              <c:numCache>
                <c:formatCode>General</c:formatCode>
                <c:ptCount val="292"/>
              </c:numCache>
            </c:numRef>
          </c:yVal>
          <c:smooth val="1"/>
        </c:ser>
        <c:ser>
          <c:idx val="1"/>
          <c:order val="1"/>
          <c:tx>
            <c:v>SB 1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(Tabelle1!$C$28,Tabelle1!$C$28)</c:f>
              <c:numCache>
                <c:formatCode>General</c:formatCode>
                <c:ptCount val="2"/>
              </c:numCache>
            </c:numRef>
          </c:xVal>
          <c:yVal>
            <c:numRef>
              <c:f>Tabelle1!$F$22:$F$23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2"/>
          <c:order val="2"/>
          <c:tx>
            <c:v>SB 2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(Tabelle1!$C$29,Tabelle1!$C$29)</c:f>
              <c:numCache>
                <c:formatCode>General</c:formatCode>
                <c:ptCount val="2"/>
              </c:numCache>
            </c:numRef>
          </c:xVal>
          <c:yVal>
            <c:numRef>
              <c:f>Tabelle1!$F$22:$F$23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3"/>
          <c:order val="3"/>
          <c:tx>
            <c:v>SB 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(Tabelle1!$C$30,Tabelle1!$C$30)</c:f>
              <c:numCache>
                <c:formatCode>General</c:formatCode>
                <c:ptCount val="2"/>
              </c:numCache>
            </c:numRef>
          </c:xVal>
          <c:yVal>
            <c:numRef>
              <c:f>Tabelle1!$F$22:$F$23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4"/>
          <c:order val="4"/>
          <c:tx>
            <c:v>SB4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(Tabelle1!$C$31,Tabelle1!$C$31)</c:f>
              <c:numCache>
                <c:formatCode>General</c:formatCode>
                <c:ptCount val="2"/>
              </c:numCache>
            </c:numRef>
          </c:xVal>
          <c:yVal>
            <c:numRef>
              <c:f>Tabelle1!$F$22:$F$23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5"/>
          <c:order val="5"/>
          <c:tx>
            <c:v>SB -1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(Tabelle1!$C$27,Tabelle1!$C$27)</c:f>
              <c:numCache>
                <c:formatCode>General</c:formatCode>
                <c:ptCount val="2"/>
              </c:numCache>
            </c:numRef>
          </c:xVal>
          <c:yVal>
            <c:numRef>
              <c:f>Tabelle1!$F$22:$F$23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6"/>
          <c:order val="6"/>
          <c:tx>
            <c:v>SB -2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(Tabelle1!$C$26,Tabelle1!$C$26)</c:f>
              <c:numCache>
                <c:formatCode>General</c:formatCode>
                <c:ptCount val="2"/>
              </c:numCache>
            </c:numRef>
          </c:xVal>
          <c:yVal>
            <c:numRef>
              <c:f>Tabelle1!$F$22:$F$23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7"/>
          <c:order val="7"/>
          <c:tx>
            <c:v>SB -3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(Tabelle1!$C$25,Tabelle1!$C$25)</c:f>
              <c:numCache>
                <c:formatCode>General</c:formatCode>
                <c:ptCount val="2"/>
              </c:numCache>
            </c:numRef>
          </c:xVal>
          <c:yVal>
            <c:numRef>
              <c:f>Tabelle1!$F$22:$F$23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8"/>
          <c:order val="8"/>
          <c:tx>
            <c:v>SB -4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(Tabelle1!$C$24,Tabelle1!$C$24)</c:f>
              <c:numCache>
                <c:formatCode>General</c:formatCode>
                <c:ptCount val="2"/>
              </c:numCache>
            </c:numRef>
          </c:xVal>
          <c:yVal>
            <c:numRef>
              <c:f>Tabelle1!$F$22:$F$23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45688"/>
        <c:axId val="353907488"/>
      </c:scatterChart>
      <c:valAx>
        <c:axId val="353545688"/>
        <c:scaling>
          <c:orientation val="minMax"/>
          <c:max val="1700"/>
          <c:min val="14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Wavelength [nm]</a:t>
                </a:r>
              </a:p>
            </c:rich>
          </c:tx>
          <c:layout>
            <c:manualLayout>
              <c:xMode val="edge"/>
              <c:yMode val="edge"/>
              <c:x val="0.43447037701974867"/>
              <c:y val="0.8956055493063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907488"/>
        <c:crosses val="autoZero"/>
        <c:crossBetween val="midCat"/>
      </c:valAx>
      <c:valAx>
        <c:axId val="35390748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Intensity [a.u.]</a:t>
                </a:r>
              </a:p>
            </c:rich>
          </c:tx>
          <c:layout>
            <c:manualLayout>
              <c:xMode val="edge"/>
              <c:yMode val="edge"/>
              <c:x val="2.8725314183123879E-2"/>
              <c:y val="0.31318710161229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545688"/>
        <c:crosses val="autoZero"/>
        <c:crossBetween val="midCat"/>
        <c:majorUnit val="0.5"/>
        <c:minorUnit val="0.1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Tabelle2!$L$20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Tabelle2!$K$21:$K$31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</c:numCache>
            </c:numRef>
          </c:xVal>
          <c:yVal>
            <c:numRef>
              <c:f>Tabelle2!$L$21:$L$31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Tabelle2!$M$20</c:f>
              <c:strCache>
                <c:ptCount val="1"/>
                <c:pt idx="0">
                  <c:v>Algorithm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Tabelle2!$K$21:$K$31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</c:numCache>
            </c:numRef>
          </c:xVal>
          <c:yVal>
            <c:numRef>
              <c:f>Tabelle2!$M$21:$M$31</c:f>
              <c:numCache>
                <c:formatCode>General</c:formatCode>
                <c:ptCount val="11"/>
                <c:pt idx="0">
                  <c:v>180</c:v>
                </c:pt>
                <c:pt idx="1">
                  <c:v>225</c:v>
                </c:pt>
                <c:pt idx="2">
                  <c:v>269.8</c:v>
                </c:pt>
                <c:pt idx="3" formatCode="0.0">
                  <c:v>314.73333333333301</c:v>
                </c:pt>
                <c:pt idx="4" formatCode="0.0">
                  <c:v>360.34</c:v>
                </c:pt>
                <c:pt idx="5" formatCode="0.0">
                  <c:v>405</c:v>
                </c:pt>
                <c:pt idx="6" formatCode="0.0">
                  <c:v>450</c:v>
                </c:pt>
                <c:pt idx="7" formatCode="0.0">
                  <c:v>494.88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74752"/>
        <c:axId val="447677496"/>
      </c:scatterChart>
      <c:valAx>
        <c:axId val="4476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77496"/>
        <c:crosses val="autoZero"/>
        <c:crossBetween val="midCat"/>
      </c:valAx>
      <c:valAx>
        <c:axId val="4476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7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48</xdr:row>
      <xdr:rowOff>114300</xdr:rowOff>
    </xdr:from>
    <xdr:to>
      <xdr:col>7</xdr:col>
      <xdr:colOff>361950</xdr:colOff>
      <xdr:row>70</xdr:row>
      <xdr:rowOff>19050</xdr:rowOff>
    </xdr:to>
    <xdr:graphicFrame macro="">
      <xdr:nvGraphicFramePr>
        <xdr:cNvPr id="1116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19</xdr:row>
      <xdr:rowOff>119062</xdr:rowOff>
    </xdr:from>
    <xdr:to>
      <xdr:col>9</xdr:col>
      <xdr:colOff>28575</xdr:colOff>
      <xdr:row>36</xdr:row>
      <xdr:rowOff>109537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1057275</xdr:colOff>
      <xdr:row>20</xdr:row>
      <xdr:rowOff>123825</xdr:rowOff>
    </xdr:from>
    <xdr:to>
      <xdr:col>13</xdr:col>
      <xdr:colOff>217262</xdr:colOff>
      <xdr:row>25</xdr:row>
      <xdr:rowOff>88515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hteck 1"/>
            <xdr:cNvSpPr/>
          </xdr:nvSpPr>
          <xdr:spPr>
            <a:xfrm>
              <a:off x="12049125" y="3381375"/>
              <a:ext cx="1112612" cy="774315"/>
            </a:xfrm>
            <a:prstGeom prst="rect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50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</m:ctrlPr>
                      </m:sSubPr>
                      <m:e>
                        <m:r>
                          <a:rPr lang="de-DE" sz="150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  <m:t>𝑇</m:t>
                        </m:r>
                      </m:e>
                      <m:sub>
                        <m:r>
                          <a:rPr lang="de-DE" sz="150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  <m:t>0</m:t>
                        </m:r>
                      </m:sub>
                    </m:sSub>
                    <m:r>
                      <a:rPr lang="de-DE" sz="1500" i="1">
                        <a:latin typeface="Cambria Math" panose="02040503050406030204" pitchFamily="18" charset="0"/>
                        <a:cs typeface="Arial" panose="020B0604020202020204" pitchFamily="34" charset="0"/>
                        <a:sym typeface="Wingdings" panose="05000000000000000000" pitchFamily="2" charset="2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50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5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  <a:sym typeface="Wingdings" panose="05000000000000000000" pitchFamily="2" charset="2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de-DE" sz="15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Arial" panose="020B0604020202020204" pitchFamily="34" charset="0"/>
                                    <a:sym typeface="Wingdings" panose="05000000000000000000" pitchFamily="2" charset="2"/>
                                  </a:rPr>
                                </m:ctrlPr>
                              </m:sSubPr>
                              <m:e>
                                <m:r>
                                  <a:rPr lang="de-DE" sz="15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Arial" panose="020B0604020202020204" pitchFamily="34" charset="0"/>
                                    <a:sym typeface="Wingdings" panose="05000000000000000000" pitchFamily="2" charset="2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de-DE" sz="15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Arial" panose="020B0604020202020204" pitchFamily="34" charset="0"/>
                                    <a:sym typeface="Wingdings" panose="05000000000000000000" pitchFamily="2" charset="2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de-DE" sz="15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Arial" panose="020B0604020202020204" pitchFamily="34" charset="0"/>
                                <a:sym typeface="Wingdings" panose="05000000000000000000" pitchFamily="2" charset="2"/>
                              </a:rPr>
                              <m:t>𝛾</m:t>
                            </m:r>
                            <m:sSub>
                              <m:sSubPr>
                                <m:ctrlPr>
                                  <a:rPr lang="de-DE" sz="15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Arial" panose="020B0604020202020204" pitchFamily="34" charset="0"/>
                                    <a:sym typeface="Wingdings" panose="05000000000000000000" pitchFamily="2" charset="2"/>
                                  </a:rPr>
                                </m:ctrlPr>
                              </m:sSubPr>
                              <m:e>
                                <m:r>
                                  <a:rPr lang="de-DE" sz="15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Arial" panose="020B0604020202020204" pitchFamily="34" charset="0"/>
                                    <a:sym typeface="Wingdings" panose="05000000000000000000" pitchFamily="2" charset="2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de-DE" sz="15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Arial" panose="020B0604020202020204" pitchFamily="34" charset="0"/>
                                    <a:sym typeface="Wingdings" panose="05000000000000000000" pitchFamily="2" charset="2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GB" sz="1500"/>
            </a:p>
          </xdr:txBody>
        </xdr:sp>
      </mc:Choice>
      <mc:Fallback xmlns="">
        <xdr:sp macro="" textlink="">
          <xdr:nvSpPr>
            <xdr:cNvPr id="2" name="Rechteck 1"/>
            <xdr:cNvSpPr/>
          </xdr:nvSpPr>
          <xdr:spPr>
            <a:xfrm>
              <a:off x="12049125" y="3381375"/>
              <a:ext cx="1112612" cy="774315"/>
            </a:xfrm>
            <a:prstGeom prst="rect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de-DE" sz="150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𝑇_0=√(</a:t>
              </a:r>
              <a:r>
                <a:rPr lang="de-DE" sz="15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𝛽_2/(𝛾𝑃_0 ))</a:t>
              </a:r>
              <a:endParaRPr lang="en-GB" sz="1500"/>
            </a:p>
          </xdr:txBody>
        </xdr:sp>
      </mc:Fallback>
    </mc:AlternateContent>
    <xdr:clientData/>
  </xdr:twoCellAnchor>
  <xdr:twoCellAnchor>
    <xdr:from>
      <xdr:col>11</xdr:col>
      <xdr:colOff>161924</xdr:colOff>
      <xdr:row>26</xdr:row>
      <xdr:rowOff>133351</xdr:rowOff>
    </xdr:from>
    <xdr:to>
      <xdr:col>14</xdr:col>
      <xdr:colOff>581024</xdr:colOff>
      <xdr:row>30</xdr:row>
      <xdr:rowOff>133351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hteck 2"/>
            <xdr:cNvSpPr/>
          </xdr:nvSpPr>
          <xdr:spPr>
            <a:xfrm>
              <a:off x="11153774" y="4362451"/>
              <a:ext cx="3133725" cy="647700"/>
            </a:xfrm>
            <a:prstGeom prst="rect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txBody>
            <a:bodyPr wrap="square">
              <a:noAutofit/>
            </a:bodyPr>
            <a:lstStyle>
              <a:defPPr>
                <a:defRPr lang="de-D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5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  <a:sym typeface="Wingdings" panose="05000000000000000000" pitchFamily="2" charset="2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de-DE" sz="15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  <a:sym typeface="Wingdings" panose="05000000000000000000" pitchFamily="2" charset="2"/>
                              </a:rPr>
                            </m:ctrlPr>
                          </m:sSubSupPr>
                          <m:e>
                            <m:r>
                              <a:rPr lang="de-DE" sz="15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  <a:sym typeface="Wingdings" panose="05000000000000000000" pitchFamily="2" charset="2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5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  <a:sym typeface="Wingdings" panose="05000000000000000000" pitchFamily="2" charset="2"/>
                              </a:rPr>
                              <m:t>0</m:t>
                            </m:r>
                          </m:sub>
                          <m:sup>
                            <m:r>
                              <a:rPr lang="de-DE" sz="15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  <a:sym typeface="Wingdings" panose="05000000000000000000" pitchFamily="2" charset="2"/>
                              </a:rPr>
                              <m:t>2</m:t>
                            </m:r>
                          </m:sup>
                        </m:sSubSup>
                        <m:r>
                          <a:rPr lang="de-DE" sz="15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sSub>
                          <m:sSubPr>
                            <m:ctrlPr>
                              <a:rPr lang="de-DE" sz="15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5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de-DE" sz="15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DE" sz="15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5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de-DE" sz="15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de-DE" sz="1500" i="1">
                        <a:latin typeface="Cambria Math" panose="02040503050406030204" pitchFamily="18" charset="0"/>
                        <a:cs typeface="Arial" panose="020B0604020202020204" pitchFamily="34" charset="0"/>
                        <a:sym typeface="Wingdings" panose="05000000000000000000" pitchFamily="2" charset="2"/>
                      </a:rPr>
                      <m:t>=</m:t>
                    </m:r>
                    <m:sSup>
                      <m:sSupPr>
                        <m:ctrlPr>
                          <a:rPr lang="de-DE" sz="1500" b="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</m:ctrlPr>
                      </m:sSupPr>
                      <m:e>
                        <m:r>
                          <a:rPr lang="de-DE" sz="1500" b="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  <m:t>𝑁</m:t>
                        </m:r>
                      </m:e>
                      <m:sup>
                        <m:r>
                          <a:rPr lang="de-DE" sz="1500" b="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500"/>
            </a:p>
          </xdr:txBody>
        </xdr:sp>
      </mc:Choice>
      <mc:Fallback xmlns="">
        <xdr:sp macro="" textlink="">
          <xdr:nvSpPr>
            <xdr:cNvPr id="3" name="Rechteck 2"/>
            <xdr:cNvSpPr/>
          </xdr:nvSpPr>
          <xdr:spPr>
            <a:xfrm>
              <a:off x="11153774" y="4362451"/>
              <a:ext cx="3133725" cy="647700"/>
            </a:xfrm>
            <a:prstGeom prst="rect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txBody>
            <a:bodyPr wrap="square">
              <a:noAutofit/>
            </a:bodyPr>
            <a:lstStyle>
              <a:defPPr>
                <a:defRPr lang="de-D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(</a:t>
              </a:r>
              <a:r>
                <a:rPr lang="de-DE" sz="150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𝑇</a:t>
              </a:r>
              <a:r>
                <a:rPr lang="de-DE" sz="1500" b="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_</a:t>
              </a:r>
              <a:r>
                <a:rPr lang="de-DE" sz="150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0^</a:t>
              </a:r>
              <a:r>
                <a:rPr lang="de-DE" sz="1500" b="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2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 </a:t>
              </a:r>
              <a:r>
                <a:rPr lang="de-DE" sz="1500" i="0" kern="1200">
                  <a:solidFill>
                    <a:schemeClr val="tx1"/>
                  </a:solidFill>
                  <a:effectLst/>
                  <a:latin typeface="Arial" charset="0"/>
                  <a:ea typeface="+mn-ea"/>
                  <a:cs typeface="+mn-cs"/>
                </a:rPr>
                <a:t>𝛾𝑃_0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)/</a:t>
              </a:r>
              <a:r>
                <a:rPr lang="de-DE" sz="1500" i="0" kern="1200">
                  <a:solidFill>
                    <a:schemeClr val="tx1"/>
                  </a:solidFill>
                  <a:effectLst/>
                  <a:latin typeface="Arial" charset="0"/>
                  <a:ea typeface="+mn-ea"/>
                  <a:cs typeface="+mn-cs"/>
                </a:rPr>
                <a:t>𝛽_2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50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=</a:t>
              </a:r>
              <a:r>
                <a:rPr lang="de-DE" sz="1500" b="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𝑁^2</a:t>
              </a:r>
              <a:endParaRPr lang="en-GB" sz="1500"/>
            </a:p>
          </xdr:txBody>
        </xdr:sp>
      </mc:Fallback>
    </mc:AlternateContent>
    <xdr:clientData/>
  </xdr:twoCellAnchor>
  <xdr:twoCellAnchor>
    <xdr:from>
      <xdr:col>11</xdr:col>
      <xdr:colOff>333374</xdr:colOff>
      <xdr:row>32</xdr:row>
      <xdr:rowOff>85726</xdr:rowOff>
    </xdr:from>
    <xdr:to>
      <xdr:col>14</xdr:col>
      <xdr:colOff>752474</xdr:colOff>
      <xdr:row>36</xdr:row>
      <xdr:rowOff>85726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hteck 3"/>
            <xdr:cNvSpPr/>
          </xdr:nvSpPr>
          <xdr:spPr>
            <a:xfrm>
              <a:off x="11325224" y="5286376"/>
              <a:ext cx="3133725" cy="647700"/>
            </a:xfrm>
            <a:prstGeom prst="rect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txBody>
            <a:bodyPr wrap="square">
              <a:noAutofit/>
            </a:bodyPr>
            <a:lstStyle>
              <a:defPPr>
                <a:defRPr lang="de-D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DE" sz="15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  <a:sym typeface="Wingdings" panose="05000000000000000000" pitchFamily="2" charset="2"/>
                          </a:rPr>
                        </m:ctrlPr>
                      </m:fPr>
                      <m:num>
                        <m:r>
                          <a:rPr lang="de-DE" sz="15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  <a:sym typeface="Wingdings" panose="05000000000000000000" pitchFamily="2" charset="2"/>
                          </a:rPr>
                          <m:t>0.88 </m:t>
                        </m:r>
                        <m:sSub>
                          <m:sSubPr>
                            <m:ctrlPr>
                              <a:rPr lang="de-DE" sz="15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5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de-DE" sz="15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DE" sz="15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5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5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de-DE" sz="15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de-DE" sz="15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5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de-DE" sz="15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den>
                    </m:f>
                    <m:r>
                      <a:rPr lang="de-DE" sz="1500" i="1">
                        <a:latin typeface="Cambria Math" panose="02040503050406030204" pitchFamily="18" charset="0"/>
                        <a:cs typeface="Arial" panose="020B0604020202020204" pitchFamily="34" charset="0"/>
                        <a:sym typeface="Wingdings" panose="05000000000000000000" pitchFamily="2" charset="2"/>
                      </a:rPr>
                      <m:t>=</m:t>
                    </m:r>
                    <m:r>
                      <a:rPr lang="de-DE" sz="1500" b="0" i="1">
                        <a:latin typeface="Cambria Math" panose="02040503050406030204" pitchFamily="18" charset="0"/>
                        <a:cs typeface="Arial" panose="020B0604020202020204" pitchFamily="34" charset="0"/>
                        <a:sym typeface="Wingdings" panose="05000000000000000000" pitchFamily="2" charset="2"/>
                      </a:rPr>
                      <m:t>𝑃𝑒𝑎𝑘</m:t>
                    </m:r>
                    <m:r>
                      <a:rPr lang="de-DE" sz="1500" b="0" i="1">
                        <a:latin typeface="Cambria Math" panose="02040503050406030204" pitchFamily="18" charset="0"/>
                        <a:cs typeface="Arial" panose="020B0604020202020204" pitchFamily="34" charset="0"/>
                        <a:sym typeface="Wingdings" panose="05000000000000000000" pitchFamily="2" charset="2"/>
                      </a:rPr>
                      <m:t> </m:t>
                    </m:r>
                    <m:r>
                      <a:rPr lang="de-DE" sz="1500" b="0" i="1">
                        <a:latin typeface="Cambria Math" panose="02040503050406030204" pitchFamily="18" charset="0"/>
                        <a:cs typeface="Arial" panose="020B0604020202020204" pitchFamily="34" charset="0"/>
                        <a:sym typeface="Wingdings" panose="05000000000000000000" pitchFamily="2" charset="2"/>
                      </a:rPr>
                      <m:t>𝑝𝑜𝑤𝑒𝑟</m:t>
                    </m:r>
                  </m:oMath>
                </m:oMathPara>
              </a14:m>
              <a:endParaRPr lang="en-GB" sz="1500"/>
            </a:p>
          </xdr:txBody>
        </xdr:sp>
      </mc:Choice>
      <mc:Fallback xmlns="">
        <xdr:sp macro="" textlink="">
          <xdr:nvSpPr>
            <xdr:cNvPr id="4" name="Rechteck 3"/>
            <xdr:cNvSpPr/>
          </xdr:nvSpPr>
          <xdr:spPr>
            <a:xfrm>
              <a:off x="11325224" y="5286376"/>
              <a:ext cx="3133725" cy="647700"/>
            </a:xfrm>
            <a:prstGeom prst="rect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txBody>
            <a:bodyPr wrap="square">
              <a:noAutofit/>
            </a:bodyPr>
            <a:lstStyle>
              <a:defPPr>
                <a:defRPr lang="de-D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(0.88 </a:t>
              </a:r>
              <a:r>
                <a:rPr lang="de-DE" sz="1500" i="0" kern="1200">
                  <a:solidFill>
                    <a:schemeClr val="tx1"/>
                  </a:solidFill>
                  <a:effectLst/>
                  <a:latin typeface="Arial" charset="0"/>
                  <a:ea typeface="+mn-ea"/>
                  <a:cs typeface="+mn-cs"/>
                </a:rPr>
                <a:t>𝑃_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𝑎𝑣𝑔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)/(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𝑇_0  𝑓_𝑟𝑒𝑝 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)</a:t>
              </a:r>
              <a:r>
                <a:rPr lang="de-DE" sz="150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=</a:t>
              </a:r>
              <a:r>
                <a:rPr lang="de-DE" sz="1500" b="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𝑃𝑒𝑎𝑘 𝑝𝑜𝑤𝑒𝑟</a:t>
              </a:r>
              <a:endParaRPr lang="en-GB" sz="1500"/>
            </a:p>
          </xdr:txBody>
        </xdr:sp>
      </mc:Fallback>
    </mc:AlternateContent>
    <xdr:clientData/>
  </xdr:twoCellAnchor>
  <xdr:twoCellAnchor>
    <xdr:from>
      <xdr:col>11</xdr:col>
      <xdr:colOff>609599</xdr:colOff>
      <xdr:row>38</xdr:row>
      <xdr:rowOff>38100</xdr:rowOff>
    </xdr:from>
    <xdr:to>
      <xdr:col>14</xdr:col>
      <xdr:colOff>152399</xdr:colOff>
      <xdr:row>42</xdr:row>
      <xdr:rowOff>161060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hteck 4"/>
            <xdr:cNvSpPr/>
          </xdr:nvSpPr>
          <xdr:spPr>
            <a:xfrm>
              <a:off x="11925299" y="6210300"/>
              <a:ext cx="2257425" cy="770660"/>
            </a:xfrm>
            <a:prstGeom prst="rect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50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</m:ctrlPr>
                      </m:sSubPr>
                      <m:e>
                        <m:r>
                          <a:rPr lang="de-DE" sz="1500" b="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  <m:t>𝐸</m:t>
                        </m:r>
                      </m:e>
                      <m:sub>
                        <m:r>
                          <a:rPr lang="de-DE" sz="1500" b="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  <m:t>𝑠𝑜𝑙𝑖𝑡𝑜𝑛</m:t>
                        </m:r>
                      </m:sub>
                    </m:sSub>
                    <m:r>
                      <a:rPr lang="de-DE" sz="1500" i="1">
                        <a:latin typeface="Cambria Math" panose="02040503050406030204" pitchFamily="18" charset="0"/>
                        <a:cs typeface="Arial" panose="020B0604020202020204" pitchFamily="34" charset="0"/>
                        <a:sym typeface="Wingdings" panose="05000000000000000000" pitchFamily="2" charset="2"/>
                      </a:rPr>
                      <m:t>=</m:t>
                    </m:r>
                    <m:r>
                      <a:rPr lang="de-DE" sz="1500" b="0" i="1">
                        <a:latin typeface="Cambria Math" panose="02040503050406030204" pitchFamily="18" charset="0"/>
                        <a:cs typeface="Arial" panose="020B0604020202020204" pitchFamily="34" charset="0"/>
                        <a:sym typeface="Wingdings" panose="05000000000000000000" pitchFamily="2" charset="2"/>
                      </a:rPr>
                      <m:t>2</m:t>
                    </m:r>
                    <m:f>
                      <m:fPr>
                        <m:ctrlPr>
                          <a:rPr lang="de-DE" sz="15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de-DE" sz="15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Arial" panose="020B0604020202020204" pitchFamily="34" charset="0"/>
                                <a:sym typeface="Wingdings" panose="05000000000000000000" pitchFamily="2" charset="2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de-DE" sz="11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de-DE" sz="11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f>
                          <m:fPr>
                            <m:ctrlPr>
                              <a:rPr lang="de-DE" sz="15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  <a:sym typeface="Wingdings" panose="05000000000000000000" pitchFamily="2" charset="2"/>
                              </a:rPr>
                            </m:ctrlPr>
                          </m:fPr>
                          <m:num>
                            <m:d>
                              <m:dPr>
                                <m:begChr m:val="|"/>
                                <m:endChr m:val="|"/>
                                <m:ctrlPr>
                                  <a:rPr lang="de-DE" sz="15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  <a:sym typeface="Wingdings" panose="05000000000000000000" pitchFamily="2" charset="2"/>
                                  </a:rPr>
                                </m:ctrlPr>
                              </m:dPr>
                              <m:e>
                                <m:r>
                                  <a:rPr lang="de-DE" sz="15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  <a:sym typeface="Wingdings" panose="05000000000000000000" pitchFamily="2" charset="2"/>
                                  </a:rPr>
                                  <m:t>𝛾</m:t>
                                </m:r>
                              </m:e>
                            </m:d>
                            <m:r>
                              <a:rPr lang="de-DE" sz="15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  <a:sym typeface="Wingdings" panose="05000000000000000000" pitchFamily="2" charset="2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de-DE" sz="15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  <a:sym typeface="Wingdings" panose="05000000000000000000" pitchFamily="2" charset="2"/>
                                  </a:rPr>
                                </m:ctrlPr>
                              </m:sSubPr>
                              <m:e>
                                <m:r>
                                  <a:rPr lang="de-DE" sz="15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  <a:sym typeface="Wingdings" panose="05000000000000000000" pitchFamily="2" charset="2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de-DE" sz="15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  <a:sym typeface="Wingdings" panose="05000000000000000000" pitchFamily="2" charset="2"/>
                                  </a:rPr>
                                  <m:t>0</m:t>
                                </m:r>
                              </m:sub>
                            </m:sSub>
                          </m:num>
                          <m:den>
                            <m:r>
                              <a:rPr lang="de-DE" sz="15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  <a:sym typeface="Wingdings" panose="05000000000000000000" pitchFamily="2" charset="2"/>
                              </a:rPr>
                              <m:t>1.665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GB" sz="1500"/>
            </a:p>
          </xdr:txBody>
        </xdr:sp>
      </mc:Choice>
      <mc:Fallback xmlns="">
        <xdr:sp macro="" textlink="">
          <xdr:nvSpPr>
            <xdr:cNvPr id="5" name="Rechteck 4"/>
            <xdr:cNvSpPr/>
          </xdr:nvSpPr>
          <xdr:spPr>
            <a:xfrm>
              <a:off x="11925299" y="6210300"/>
              <a:ext cx="2257425" cy="770660"/>
            </a:xfrm>
            <a:prstGeom prst="rect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de-DE" sz="1500" b="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𝐸_𝑠𝑜𝑙𝑖𝑡𝑜𝑛</a:t>
              </a:r>
              <a:r>
                <a:rPr lang="de-DE" sz="150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=</a:t>
              </a:r>
              <a:r>
                <a:rPr lang="de-DE" sz="1500" b="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2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Arial" panose="020B0604020202020204" pitchFamily="34" charset="0"/>
                  <a:sym typeface="Wingdings" panose="05000000000000000000" pitchFamily="2" charset="2"/>
                </a:rPr>
                <a:t> |</a:t>
              </a:r>
              <a:r>
                <a:rPr lang="de-DE" sz="1100" i="0" kern="1200">
                  <a:solidFill>
                    <a:schemeClr val="tx1"/>
                  </a:solidFill>
                  <a:effectLst/>
                  <a:latin typeface="Arial" charset="0"/>
                  <a:ea typeface="+mn-ea"/>
                  <a:cs typeface="+mn-cs"/>
                </a:rPr>
                <a:t>𝛽_2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 |/((|𝛾|  𝑇_0)/1.665)</a:t>
              </a:r>
              <a:endParaRPr lang="en-GB" sz="1500"/>
            </a:p>
          </xdr:txBody>
        </xdr:sp>
      </mc:Fallback>
    </mc:AlternateContent>
    <xdr:clientData/>
  </xdr:twoCellAnchor>
  <xdr:twoCellAnchor>
    <xdr:from>
      <xdr:col>14</xdr:col>
      <xdr:colOff>504824</xdr:colOff>
      <xdr:row>38</xdr:row>
      <xdr:rowOff>57150</xdr:rowOff>
    </xdr:from>
    <xdr:to>
      <xdr:col>17</xdr:col>
      <xdr:colOff>476249</xdr:colOff>
      <xdr:row>42</xdr:row>
      <xdr:rowOff>17245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hteck 5"/>
            <xdr:cNvSpPr/>
          </xdr:nvSpPr>
          <xdr:spPr>
            <a:xfrm>
              <a:off x="14535149" y="6229350"/>
              <a:ext cx="2257425" cy="607795"/>
            </a:xfrm>
            <a:prstGeom prst="rect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50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</m:ctrlPr>
                      </m:sSubPr>
                      <m:e>
                        <m:r>
                          <a:rPr lang="de-DE" sz="1500" b="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  <m:t>𝐸</m:t>
                        </m:r>
                      </m:e>
                      <m:sub>
                        <m:r>
                          <a:rPr lang="de-DE" sz="1500" b="0" i="1">
                            <a:latin typeface="Cambria Math" panose="02040503050406030204" pitchFamily="18" charset="0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  <m:t>𝑠𝑜𝑙𝑖𝑡𝑜𝑛</m:t>
                        </m:r>
                      </m:sub>
                    </m:sSub>
                    <m:r>
                      <a:rPr lang="de-DE" sz="1500" i="1">
                        <a:latin typeface="Cambria Math" panose="02040503050406030204" pitchFamily="18" charset="0"/>
                        <a:cs typeface="Arial" panose="020B0604020202020204" pitchFamily="34" charset="0"/>
                        <a:sym typeface="Wingdings" panose="05000000000000000000" pitchFamily="2" charset="2"/>
                      </a:rPr>
                      <m:t>=</m:t>
                    </m:r>
                    <m:r>
                      <a:rPr lang="de-DE" sz="1500" b="0" i="1">
                        <a:latin typeface="Cambria Math" panose="02040503050406030204" pitchFamily="18" charset="0"/>
                        <a:cs typeface="Arial" panose="020B0604020202020204" pitchFamily="34" charset="0"/>
                        <a:sym typeface="Wingdings" panose="05000000000000000000" pitchFamily="2" charset="2"/>
                      </a:rPr>
                      <m:t>2</m:t>
                    </m:r>
                    <m:f>
                      <m:fPr>
                        <m:ctrlPr>
                          <a:rPr lang="de-DE" sz="15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Arial" panose="020B0604020202020204" pitchFamily="34" charset="0"/>
                            <a:sym typeface="Wingdings" panose="05000000000000000000" pitchFamily="2" charset="2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de-DE" sz="15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Arial" panose="020B0604020202020204" pitchFamily="34" charset="0"/>
                                <a:sym typeface="Wingdings" panose="05000000000000000000" pitchFamily="2" charset="2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de-DE" sz="11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de-DE" sz="11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de-DE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e>
                        </m:d>
                        <m:r>
                          <a:rPr lang="de-DE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de-DE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500"/>
            </a:p>
          </xdr:txBody>
        </xdr:sp>
      </mc:Choice>
      <mc:Fallback xmlns="">
        <xdr:sp macro="" textlink="">
          <xdr:nvSpPr>
            <xdr:cNvPr id="6" name="Rechteck 5"/>
            <xdr:cNvSpPr/>
          </xdr:nvSpPr>
          <xdr:spPr>
            <a:xfrm>
              <a:off x="14535149" y="6229350"/>
              <a:ext cx="2257425" cy="607795"/>
            </a:xfrm>
            <a:prstGeom prst="rect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de-DE" sz="1500" b="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𝐸_𝑠𝑜𝑙𝑖𝑡𝑜𝑛</a:t>
              </a:r>
              <a:r>
                <a:rPr lang="de-DE" sz="150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=</a:t>
              </a:r>
              <a:r>
                <a:rPr lang="de-DE" sz="1500" b="0" i="0">
                  <a:latin typeface="Cambria Math" panose="02040503050406030204" pitchFamily="18" charset="0"/>
                  <a:cs typeface="Arial" panose="020B0604020202020204" pitchFamily="34" charset="0"/>
                  <a:sym typeface="Wingdings" panose="05000000000000000000" pitchFamily="2" charset="2"/>
                </a:rPr>
                <a:t>2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Arial" panose="020B0604020202020204" pitchFamily="34" charset="0"/>
                  <a:sym typeface="Wingdings" panose="05000000000000000000" pitchFamily="2" charset="2"/>
                </a:rPr>
                <a:t> |</a:t>
              </a:r>
              <a:r>
                <a:rPr lang="de-DE" sz="1100" i="0" kern="1200">
                  <a:solidFill>
                    <a:schemeClr val="tx1"/>
                  </a:solidFill>
                  <a:effectLst/>
                  <a:latin typeface="Arial" charset="0"/>
                  <a:ea typeface="+mn-ea"/>
                  <a:cs typeface="+mn-cs"/>
                </a:rPr>
                <a:t>𝛽_2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 |/(</a:t>
              </a:r>
              <a:r>
                <a:rPr lang="de-DE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|</a:t>
              </a:r>
              <a:r>
                <a:rPr lang="de-DE" sz="1100" b="0" i="0" kern="1200">
                  <a:solidFill>
                    <a:schemeClr val="tx1"/>
                  </a:solidFill>
                  <a:effectLst/>
                  <a:latin typeface="Arial" charset="0"/>
                  <a:ea typeface="+mn-ea"/>
                  <a:cs typeface="+mn-cs"/>
                </a:rPr>
                <a:t>𝛾|  𝑇_0</a:t>
              </a:r>
              <a:r>
                <a:rPr lang="de-DE" sz="15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anose="05000000000000000000" pitchFamily="2" charset="2"/>
                </a:rPr>
                <a:t> )</a:t>
              </a:r>
              <a:endParaRPr lang="en-GB" sz="15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F11" sqref="F11"/>
    </sheetView>
  </sheetViews>
  <sheetFormatPr baseColWidth="10" defaultRowHeight="12.75" x14ac:dyDescent="0.2"/>
  <cols>
    <col min="1" max="1" width="22.5703125" customWidth="1"/>
    <col min="2" max="2" width="12.42578125" bestFit="1" customWidth="1"/>
    <col min="4" max="4" width="12.42578125" bestFit="1" customWidth="1"/>
    <col min="5" max="5" width="31.140625" customWidth="1"/>
    <col min="6" max="6" width="12.42578125" customWidth="1"/>
  </cols>
  <sheetData>
    <row r="3" spans="1:7" x14ac:dyDescent="0.2">
      <c r="A3" t="s">
        <v>0</v>
      </c>
    </row>
    <row r="4" spans="1:7" x14ac:dyDescent="0.2">
      <c r="E4" t="s">
        <v>6</v>
      </c>
      <c r="F4" s="1">
        <f>2*3.141592*B8/(B6*0.000000000001*B10*0.000000001)</f>
        <v>1.0491844250474385E-3</v>
      </c>
      <c r="G4">
        <f>F4*1000</f>
        <v>1.0491844250474385</v>
      </c>
    </row>
    <row r="6" spans="1:7" x14ac:dyDescent="0.2">
      <c r="A6" t="s">
        <v>2</v>
      </c>
      <c r="B6" s="3">
        <v>85</v>
      </c>
      <c r="E6" t="s">
        <v>24</v>
      </c>
      <c r="F6" s="4">
        <f>1000000000*2*ABS(D7*1E-30)/(F4*B11*0.000000000000001/1.665)</f>
        <v>0.14563215060325108</v>
      </c>
    </row>
    <row r="7" spans="1:7" x14ac:dyDescent="0.2">
      <c r="A7" t="s">
        <v>4</v>
      </c>
      <c r="B7" s="3">
        <v>18</v>
      </c>
      <c r="C7" t="s">
        <v>9</v>
      </c>
      <c r="D7">
        <f>-1E+30*B7*0.000001*B10*B10*0.000000000000000001/(2*3.141592*300000000)</f>
        <v>-22942.189819683779</v>
      </c>
      <c r="F7" s="4"/>
    </row>
    <row r="8" spans="1:7" x14ac:dyDescent="0.2">
      <c r="A8" t="s">
        <v>5</v>
      </c>
      <c r="B8" s="1">
        <v>2.1999999999999999E-20</v>
      </c>
      <c r="C8" s="1"/>
      <c r="E8" t="s">
        <v>10</v>
      </c>
      <c r="F8" s="4">
        <f>0.5055*B11*B11/ABS(D7)</f>
        <v>5.5084105306971898</v>
      </c>
    </row>
    <row r="9" spans="1:7" x14ac:dyDescent="0.2">
      <c r="F9" s="4"/>
    </row>
    <row r="10" spans="1:7" x14ac:dyDescent="0.2">
      <c r="A10" t="s">
        <v>1</v>
      </c>
      <c r="B10" s="2">
        <v>1550</v>
      </c>
      <c r="F10" s="4"/>
    </row>
    <row r="11" spans="1:7" x14ac:dyDescent="0.2">
      <c r="A11" t="s">
        <v>3</v>
      </c>
      <c r="B11" s="2">
        <v>500</v>
      </c>
      <c r="E11" t="s">
        <v>25</v>
      </c>
      <c r="F11" s="4">
        <f>1000000000*(0.3148/(B11*0.000000000000001))*B10*B10*0.000000000000000001/300000000</f>
        <v>5.0420466666666686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activeCell="C15" sqref="C15"/>
    </sheetView>
  </sheetViews>
  <sheetFormatPr baseColWidth="10" defaultRowHeight="12.75" x14ac:dyDescent="0.2"/>
  <cols>
    <col min="1" max="1" width="23" bestFit="1" customWidth="1"/>
    <col min="2" max="2" width="10" bestFit="1" customWidth="1"/>
    <col min="3" max="3" width="12" bestFit="1" customWidth="1"/>
    <col min="4" max="4" width="12.5703125" bestFit="1" customWidth="1"/>
    <col min="5" max="5" width="30" bestFit="1" customWidth="1"/>
    <col min="6" max="7" width="12" bestFit="1" customWidth="1"/>
  </cols>
  <sheetData>
    <row r="2" spans="1:11" x14ac:dyDescent="0.2">
      <c r="A2" s="5"/>
      <c r="B2" s="5"/>
      <c r="C2" s="5"/>
      <c r="D2" s="5"/>
      <c r="E2" s="5" t="s">
        <v>18</v>
      </c>
      <c r="F2" s="5">
        <v>2.059834686562797E-3</v>
      </c>
      <c r="G2" s="5">
        <v>2.0598346865627972</v>
      </c>
    </row>
    <row r="3" spans="1:11" x14ac:dyDescent="0.2">
      <c r="A3" s="5" t="s">
        <v>0</v>
      </c>
      <c r="B3" s="5"/>
      <c r="C3" s="5"/>
      <c r="D3" s="5"/>
      <c r="E3" s="5"/>
      <c r="F3" s="5"/>
      <c r="G3" s="5"/>
    </row>
    <row r="4" spans="1:11" x14ac:dyDescent="0.2">
      <c r="A4" s="5"/>
      <c r="B4" s="5"/>
      <c r="C4" s="5"/>
      <c r="D4" s="5"/>
      <c r="E4" s="5" t="s">
        <v>6</v>
      </c>
      <c r="F4" s="6">
        <v>1.0491844250474385E-3</v>
      </c>
      <c r="G4" s="5">
        <v>1.0491844250474385</v>
      </c>
    </row>
    <row r="6" spans="1:11" x14ac:dyDescent="0.2">
      <c r="A6" s="5" t="s">
        <v>2</v>
      </c>
      <c r="B6" s="8">
        <v>85</v>
      </c>
      <c r="C6" s="5"/>
      <c r="D6" s="5"/>
      <c r="E6" s="5" t="s">
        <v>8</v>
      </c>
      <c r="F6" s="9">
        <v>7.2816075301625538E-2</v>
      </c>
      <c r="G6" s="5"/>
    </row>
    <row r="7" spans="1:11" x14ac:dyDescent="0.2">
      <c r="A7" s="5" t="s">
        <v>4</v>
      </c>
      <c r="B7" s="8">
        <v>18</v>
      </c>
      <c r="C7" s="5" t="s">
        <v>9</v>
      </c>
      <c r="D7" s="5">
        <v>-22942.189819683779</v>
      </c>
      <c r="E7" s="5"/>
      <c r="F7" s="9"/>
      <c r="G7" s="5"/>
    </row>
    <row r="8" spans="1:11" x14ac:dyDescent="0.2">
      <c r="A8" s="5" t="s">
        <v>5</v>
      </c>
      <c r="B8" s="6">
        <v>2.1999999999999999E-20</v>
      </c>
      <c r="C8" s="6"/>
      <c r="D8" s="5"/>
      <c r="E8" s="5" t="s">
        <v>10</v>
      </c>
      <c r="F8" s="9">
        <f>0.5055*B11*B11/ABS(D7)</f>
        <v>22.033642122788759</v>
      </c>
      <c r="G8" s="5"/>
      <c r="K8">
        <v>0.5</v>
      </c>
    </row>
    <row r="9" spans="1:11" x14ac:dyDescent="0.2">
      <c r="A9" s="5"/>
      <c r="B9" s="5"/>
      <c r="C9" s="5"/>
      <c r="D9" s="5"/>
      <c r="E9" s="5"/>
      <c r="F9" s="9"/>
      <c r="G9" s="5"/>
    </row>
    <row r="10" spans="1:11" x14ac:dyDescent="0.2">
      <c r="A10" s="5" t="s">
        <v>1</v>
      </c>
      <c r="B10" s="7">
        <v>1550</v>
      </c>
      <c r="C10" s="5"/>
      <c r="D10" s="5"/>
      <c r="E10" s="5"/>
      <c r="F10" s="9"/>
      <c r="G10" s="5"/>
      <c r="K10">
        <f>0.45*1.41</f>
        <v>0.63449999999999995</v>
      </c>
    </row>
    <row r="11" spans="1:11" x14ac:dyDescent="0.2">
      <c r="A11" s="5" t="s">
        <v>3</v>
      </c>
      <c r="B11" s="7">
        <v>1000</v>
      </c>
      <c r="C11" s="5"/>
      <c r="D11" s="5"/>
      <c r="E11" s="5" t="s">
        <v>7</v>
      </c>
      <c r="F11" s="9">
        <f>1000000000*(0.3148/(B11*0.000000000000001))*B10*B10*0.000000000000000001/300000000</f>
        <v>2.5210233333333343</v>
      </c>
      <c r="G11" s="5"/>
      <c r="K11">
        <f>+K10/1.27</f>
        <v>0.49960629921259836</v>
      </c>
    </row>
    <row r="14" spans="1:11" x14ac:dyDescent="0.2">
      <c r="A14" s="5"/>
      <c r="B14" s="5">
        <v>84.905600000000007</v>
      </c>
      <c r="C14" s="5"/>
      <c r="D14" s="5"/>
      <c r="E14" s="5" t="s">
        <v>12</v>
      </c>
      <c r="F14" s="6">
        <v>500</v>
      </c>
      <c r="G14" s="5" t="s">
        <v>17</v>
      </c>
    </row>
    <row r="15" spans="1:11" x14ac:dyDescent="0.2">
      <c r="A15" s="5"/>
      <c r="B15" s="5"/>
      <c r="C15" s="5"/>
      <c r="D15" s="5"/>
      <c r="E15" s="5" t="s">
        <v>13</v>
      </c>
      <c r="F15" s="5">
        <v>1.0491844250474385</v>
      </c>
      <c r="G15" s="5" t="s">
        <v>15</v>
      </c>
    </row>
    <row r="16" spans="1:11" x14ac:dyDescent="0.2">
      <c r="A16" s="5"/>
      <c r="B16" s="5"/>
      <c r="C16" s="5"/>
      <c r="D16" s="5"/>
      <c r="E16" s="5" t="s">
        <v>14</v>
      </c>
      <c r="F16" s="7">
        <v>23</v>
      </c>
      <c r="G16" s="5" t="s">
        <v>16</v>
      </c>
    </row>
    <row r="18" spans="1:15" x14ac:dyDescent="0.2">
      <c r="A18" s="5"/>
      <c r="B18" s="5"/>
      <c r="C18" s="5"/>
      <c r="D18" s="5"/>
      <c r="E18" s="5" t="s">
        <v>11</v>
      </c>
      <c r="F18" s="5">
        <v>4.7758095718159304</v>
      </c>
      <c r="G18" s="5"/>
    </row>
    <row r="20" spans="1:15" x14ac:dyDescent="0.2">
      <c r="K20" s="33" t="s">
        <v>61</v>
      </c>
      <c r="L20" s="33" t="s">
        <v>61</v>
      </c>
      <c r="M20" s="33" t="s">
        <v>62</v>
      </c>
      <c r="N20" s="33" t="s">
        <v>63</v>
      </c>
      <c r="O20" s="33" t="s">
        <v>64</v>
      </c>
    </row>
    <row r="21" spans="1:15" x14ac:dyDescent="0.2">
      <c r="K21" s="12">
        <v>200</v>
      </c>
      <c r="L21" s="12">
        <v>200</v>
      </c>
      <c r="M21" s="12">
        <v>180</v>
      </c>
      <c r="N21" s="35">
        <f>+M21*1.41</f>
        <v>253.79999999999998</v>
      </c>
      <c r="O21" s="4">
        <f>+N21/L21</f>
        <v>1.2689999999999999</v>
      </c>
    </row>
    <row r="22" spans="1:15" x14ac:dyDescent="0.2">
      <c r="A22" s="5" t="s">
        <v>20</v>
      </c>
      <c r="B22" s="10">
        <v>209.38858322606126</v>
      </c>
      <c r="C22" s="5" t="s">
        <v>19</v>
      </c>
      <c r="D22" s="5"/>
      <c r="E22" s="5"/>
      <c r="F22" s="5"/>
      <c r="G22" s="5"/>
      <c r="K22" s="12">
        <v>250</v>
      </c>
      <c r="L22" s="12">
        <v>250</v>
      </c>
      <c r="M22" s="12">
        <v>225</v>
      </c>
      <c r="N22" s="35">
        <f t="shared" ref="N22:N31" si="0">+M22*1.41</f>
        <v>317.25</v>
      </c>
      <c r="O22" s="4">
        <f t="shared" ref="O22:O31" si="1">+N22/L22</f>
        <v>1.2689999999999999</v>
      </c>
    </row>
    <row r="23" spans="1:15" x14ac:dyDescent="0.2">
      <c r="A23" s="5"/>
      <c r="B23" s="5"/>
      <c r="C23" s="5"/>
      <c r="D23" s="5"/>
      <c r="E23" s="5"/>
      <c r="F23" s="5"/>
      <c r="G23" s="5">
        <v>30</v>
      </c>
      <c r="K23" s="12">
        <v>300</v>
      </c>
      <c r="L23" s="12">
        <v>300</v>
      </c>
      <c r="M23" s="12">
        <v>269.8</v>
      </c>
      <c r="N23" s="35">
        <f t="shared" si="0"/>
        <v>380.41800000000001</v>
      </c>
      <c r="O23" s="4">
        <f t="shared" si="1"/>
        <v>1.26806</v>
      </c>
    </row>
    <row r="24" spans="1:15" x14ac:dyDescent="0.2">
      <c r="A24" s="5"/>
      <c r="B24" s="5"/>
      <c r="C24" s="5"/>
      <c r="D24" s="5"/>
      <c r="E24" s="5"/>
      <c r="F24" s="5"/>
      <c r="G24" s="5">
        <v>24</v>
      </c>
      <c r="K24" s="12">
        <v>350</v>
      </c>
      <c r="L24" s="12">
        <v>350</v>
      </c>
      <c r="M24" s="34">
        <v>314.73333333333301</v>
      </c>
      <c r="N24" s="35">
        <f t="shared" si="0"/>
        <v>443.77399999999949</v>
      </c>
      <c r="O24" s="4">
        <f t="shared" si="1"/>
        <v>1.2679257142857128</v>
      </c>
    </row>
    <row r="25" spans="1:15" x14ac:dyDescent="0.2">
      <c r="A25" s="5" t="s">
        <v>21</v>
      </c>
      <c r="B25" s="5" t="s">
        <v>22</v>
      </c>
      <c r="C25" s="5">
        <v>4.5419354838709663E-3</v>
      </c>
      <c r="D25" s="5">
        <v>4.541935483870966</v>
      </c>
      <c r="E25" s="5"/>
      <c r="F25" s="5"/>
      <c r="G25" s="5"/>
      <c r="K25" s="12">
        <v>400</v>
      </c>
      <c r="L25" s="12">
        <v>400</v>
      </c>
      <c r="M25" s="34">
        <v>360.34</v>
      </c>
      <c r="N25" s="35">
        <f t="shared" si="0"/>
        <v>508.07939999999996</v>
      </c>
      <c r="O25" s="4">
        <f t="shared" si="1"/>
        <v>1.2701985</v>
      </c>
    </row>
    <row r="26" spans="1:15" x14ac:dyDescent="0.2">
      <c r="A26" s="5" t="s">
        <v>23</v>
      </c>
      <c r="B26" s="10">
        <v>100.63717458817548</v>
      </c>
      <c r="C26" s="5" t="s">
        <v>19</v>
      </c>
      <c r="D26" s="5"/>
      <c r="E26" s="5"/>
      <c r="F26" s="5"/>
      <c r="G26" s="5"/>
      <c r="K26" s="12">
        <v>450</v>
      </c>
      <c r="L26" s="12">
        <v>450</v>
      </c>
      <c r="M26" s="34">
        <v>405</v>
      </c>
      <c r="N26" s="35">
        <f t="shared" si="0"/>
        <v>571.04999999999995</v>
      </c>
      <c r="O26" s="4">
        <f t="shared" si="1"/>
        <v>1.2689999999999999</v>
      </c>
    </row>
    <row r="27" spans="1:15" x14ac:dyDescent="0.2">
      <c r="K27" s="12">
        <v>500</v>
      </c>
      <c r="L27" s="12">
        <v>500</v>
      </c>
      <c r="M27" s="34">
        <v>450</v>
      </c>
      <c r="N27" s="35">
        <f t="shared" si="0"/>
        <v>634.5</v>
      </c>
      <c r="O27" s="4">
        <f t="shared" si="1"/>
        <v>1.2689999999999999</v>
      </c>
    </row>
    <row r="28" spans="1:15" x14ac:dyDescent="0.2">
      <c r="A28" s="5">
        <v>1.8939323443843468</v>
      </c>
      <c r="B28" s="5"/>
      <c r="C28" s="5"/>
      <c r="D28" s="5"/>
      <c r="E28" s="5"/>
      <c r="F28" s="5"/>
      <c r="G28" s="5"/>
      <c r="K28" s="12">
        <v>550</v>
      </c>
      <c r="L28" s="12">
        <v>550</v>
      </c>
      <c r="M28" s="34">
        <v>494.88</v>
      </c>
      <c r="N28" s="35">
        <f t="shared" si="0"/>
        <v>697.7808</v>
      </c>
      <c r="O28" s="4">
        <f t="shared" si="1"/>
        <v>1.2686923636363636</v>
      </c>
    </row>
    <row r="29" spans="1:15" x14ac:dyDescent="0.2">
      <c r="K29" s="12">
        <v>600</v>
      </c>
      <c r="L29" s="12">
        <v>600</v>
      </c>
      <c r="M29" s="34"/>
      <c r="N29" s="35">
        <f t="shared" si="0"/>
        <v>0</v>
      </c>
      <c r="O29" s="4">
        <f t="shared" si="1"/>
        <v>0</v>
      </c>
    </row>
    <row r="30" spans="1:15" x14ac:dyDescent="0.2">
      <c r="K30" s="12">
        <v>650</v>
      </c>
      <c r="L30" s="12">
        <v>650</v>
      </c>
      <c r="M30" s="34"/>
      <c r="N30" s="35">
        <f t="shared" si="0"/>
        <v>0</v>
      </c>
      <c r="O30" s="4">
        <f t="shared" si="1"/>
        <v>0</v>
      </c>
    </row>
    <row r="31" spans="1:15" x14ac:dyDescent="0.2">
      <c r="K31" s="12">
        <v>700</v>
      </c>
      <c r="L31" s="12">
        <v>700</v>
      </c>
      <c r="M31" s="34"/>
      <c r="N31" s="35">
        <f t="shared" si="0"/>
        <v>0</v>
      </c>
      <c r="O31" s="4">
        <f t="shared" si="1"/>
        <v>0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9"/>
  <sheetViews>
    <sheetView tabSelected="1" workbookViewId="0">
      <selection activeCell="G18" sqref="G18"/>
    </sheetView>
  </sheetViews>
  <sheetFormatPr baseColWidth="10" defaultRowHeight="12.75" x14ac:dyDescent="0.2"/>
  <cols>
    <col min="2" max="2" width="27.42578125" bestFit="1" customWidth="1"/>
    <col min="3" max="3" width="15.5703125" customWidth="1"/>
    <col min="4" max="4" width="12.42578125" bestFit="1" customWidth="1"/>
    <col min="6" max="6" width="26.85546875" bestFit="1" customWidth="1"/>
    <col min="7" max="7" width="17.85546875" customWidth="1"/>
    <col min="8" max="8" width="12.42578125" bestFit="1" customWidth="1"/>
    <col min="12" max="12" width="17.85546875" customWidth="1"/>
  </cols>
  <sheetData>
    <row r="3" spans="2:16" x14ac:dyDescent="0.2">
      <c r="B3" s="11"/>
      <c r="C3" s="3">
        <v>85</v>
      </c>
      <c r="F3" t="s">
        <v>6</v>
      </c>
      <c r="G3" s="1">
        <f>2*3.141592*C5/(C3*0.000000000001*C7*0.000000001)</f>
        <v>1.0491844250474385E-3</v>
      </c>
      <c r="H3">
        <f>G3*1000</f>
        <v>1.0491844250474385</v>
      </c>
    </row>
    <row r="4" spans="2:16" x14ac:dyDescent="0.2">
      <c r="B4" t="s">
        <v>4</v>
      </c>
      <c r="C4" s="3">
        <v>18</v>
      </c>
      <c r="D4" s="11" t="s">
        <v>9</v>
      </c>
      <c r="E4">
        <f>-1E+30*C4*0.000001*C7*C7*0.000000000000000001/(2*3.141592*300000000)</f>
        <v>-22942.189819683779</v>
      </c>
    </row>
    <row r="5" spans="2:16" x14ac:dyDescent="0.2">
      <c r="B5" s="11" t="s">
        <v>30</v>
      </c>
      <c r="C5" s="1">
        <v>2.1999999999999999E-20</v>
      </c>
      <c r="D5" s="1"/>
      <c r="F5" s="29" t="s">
        <v>24</v>
      </c>
      <c r="G5" s="32">
        <f>1000000000*2*ABS(E4*1E-30)/(G3*C8*0.000000000000001/1.665)</f>
        <v>0.72816075301625538</v>
      </c>
      <c r="H5" s="11" t="s">
        <v>60</v>
      </c>
    </row>
    <row r="6" spans="2:16" x14ac:dyDescent="0.2">
      <c r="G6" s="4"/>
    </row>
    <row r="7" spans="2:16" x14ac:dyDescent="0.2">
      <c r="B7" t="s">
        <v>1</v>
      </c>
      <c r="C7" s="2">
        <v>1550</v>
      </c>
      <c r="F7" s="11" t="s">
        <v>59</v>
      </c>
      <c r="G7">
        <f>+J13*G5*0.000000001</f>
        <v>8.8296772910751145</v>
      </c>
    </row>
    <row r="8" spans="2:16" x14ac:dyDescent="0.2">
      <c r="B8" t="s">
        <v>3</v>
      </c>
      <c r="C8" s="2">
        <v>100</v>
      </c>
      <c r="G8" s="4"/>
    </row>
    <row r="9" spans="2:16" x14ac:dyDescent="0.2">
      <c r="F9" t="s">
        <v>10</v>
      </c>
      <c r="G9" s="4">
        <f>0.5055*C8*C8/ABS(E4)</f>
        <v>0.2203364212278876</v>
      </c>
    </row>
    <row r="10" spans="2:16" x14ac:dyDescent="0.2">
      <c r="F10" t="s">
        <v>25</v>
      </c>
      <c r="G10" s="4">
        <f>1000000000*(0.3148/(C8*0.000000000000001))*C7*C7*0.000000000000000001/300000000</f>
        <v>25.210233333333335</v>
      </c>
    </row>
    <row r="11" spans="2:16" x14ac:dyDescent="0.2">
      <c r="B11" s="11" t="s">
        <v>38</v>
      </c>
      <c r="C11">
        <v>299792458</v>
      </c>
    </row>
    <row r="12" spans="2:16" x14ac:dyDescent="0.2">
      <c r="B12" s="11" t="s">
        <v>36</v>
      </c>
      <c r="C12">
        <f>+D12*(0.000001)^2</f>
        <v>8.5000000000000004E-11</v>
      </c>
      <c r="D12" s="27">
        <v>85</v>
      </c>
      <c r="E12" s="11" t="s">
        <v>35</v>
      </c>
      <c r="J12" s="12" t="s">
        <v>50</v>
      </c>
      <c r="L12" s="13" t="s">
        <v>40</v>
      </c>
      <c r="M12" s="14">
        <f>+O12*0.001</f>
        <v>5</v>
      </c>
      <c r="N12" s="15" t="s">
        <v>17</v>
      </c>
      <c r="O12" s="14">
        <v>5000</v>
      </c>
      <c r="P12" s="16" t="s">
        <v>46</v>
      </c>
    </row>
    <row r="13" spans="2:16" x14ac:dyDescent="0.2">
      <c r="B13" s="11" t="s">
        <v>33</v>
      </c>
      <c r="C13">
        <f>10^(30)/(10^(6))*D13</f>
        <v>1.7999999999999999E+25</v>
      </c>
      <c r="D13" s="27">
        <v>18</v>
      </c>
      <c r="E13" s="11" t="s">
        <v>34</v>
      </c>
      <c r="J13" s="17">
        <v>12126000000</v>
      </c>
      <c r="L13" s="18" t="s">
        <v>51</v>
      </c>
      <c r="M13" s="14">
        <f>+M12/J13</f>
        <v>4.1233712683490023E-10</v>
      </c>
      <c r="N13" s="16" t="s">
        <v>52</v>
      </c>
      <c r="O13" s="19">
        <f>+M13*1000000000000</f>
        <v>412.33712683490023</v>
      </c>
      <c r="P13" s="16" t="s">
        <v>53</v>
      </c>
    </row>
    <row r="14" spans="2:16" x14ac:dyDescent="0.2">
      <c r="B14" s="11" t="s">
        <v>31</v>
      </c>
      <c r="C14">
        <f>+D14*0.000000001</f>
        <v>1.5500000000000002E-6</v>
      </c>
      <c r="D14" s="27">
        <v>1550</v>
      </c>
      <c r="E14" s="11" t="s">
        <v>32</v>
      </c>
      <c r="J14" s="12"/>
      <c r="L14" s="20"/>
      <c r="M14" s="20"/>
      <c r="O14" s="20"/>
    </row>
    <row r="15" spans="2:16" x14ac:dyDescent="0.2">
      <c r="D15" s="27"/>
      <c r="J15" s="12"/>
      <c r="L15" s="13" t="s">
        <v>51</v>
      </c>
      <c r="M15" s="14">
        <f>+M13</f>
        <v>4.1233712683490023E-10</v>
      </c>
      <c r="N15" s="15" t="s">
        <v>52</v>
      </c>
      <c r="O15" s="21">
        <f>+M15*1000000000000</f>
        <v>412.33712683490023</v>
      </c>
      <c r="P15" s="16" t="s">
        <v>53</v>
      </c>
    </row>
    <row r="16" spans="2:16" ht="13.5" thickBot="1" x14ac:dyDescent="0.25">
      <c r="B16" t="s">
        <v>41</v>
      </c>
      <c r="C16" s="1">
        <v>12125000000</v>
      </c>
      <c r="D16" s="27">
        <f>+C16*0.000000001</f>
        <v>12.125</v>
      </c>
      <c r="E16" t="s">
        <v>45</v>
      </c>
      <c r="J16" s="12"/>
      <c r="L16" s="18" t="s">
        <v>54</v>
      </c>
      <c r="M16" s="14">
        <f>+O16*0.000000000000001</f>
        <v>1.06E-13</v>
      </c>
      <c r="N16" s="16" t="s">
        <v>55</v>
      </c>
      <c r="O16" s="20">
        <v>106</v>
      </c>
      <c r="P16" t="s">
        <v>19</v>
      </c>
    </row>
    <row r="17" spans="2:16" ht="13.5" thickBot="1" x14ac:dyDescent="0.25">
      <c r="D17" s="27"/>
      <c r="J17" s="12"/>
      <c r="L17" s="22" t="s">
        <v>42</v>
      </c>
      <c r="M17" s="23">
        <f>0.88*M15/M16</f>
        <v>3423.1761473086058</v>
      </c>
      <c r="N17" s="24" t="s">
        <v>17</v>
      </c>
      <c r="O17" s="25">
        <f>+M17*1000</f>
        <v>3423176.1473086057</v>
      </c>
      <c r="P17" s="26" t="s">
        <v>46</v>
      </c>
    </row>
    <row r="18" spans="2:16" x14ac:dyDescent="0.2">
      <c r="B18" s="29" t="s">
        <v>44</v>
      </c>
      <c r="D18" s="27"/>
    </row>
    <row r="19" spans="2:16" x14ac:dyDescent="0.2">
      <c r="D19" s="27"/>
    </row>
    <row r="20" spans="2:16" x14ac:dyDescent="0.2">
      <c r="B20" t="s">
        <v>40</v>
      </c>
      <c r="C20">
        <f>+D20*0.001</f>
        <v>0.02</v>
      </c>
      <c r="D20" s="27">
        <v>20</v>
      </c>
      <c r="E20" t="s">
        <v>46</v>
      </c>
    </row>
    <row r="21" spans="2:16" x14ac:dyDescent="0.2">
      <c r="B21" t="s">
        <v>41</v>
      </c>
      <c r="C21" s="1">
        <f>+D21*1000000000</f>
        <v>12125000000</v>
      </c>
      <c r="D21" s="27">
        <v>12.125</v>
      </c>
      <c r="E21" t="s">
        <v>45</v>
      </c>
      <c r="F21" t="s">
        <v>58</v>
      </c>
      <c r="G21" s="30">
        <f>2*ABS(E4)/(ABS(G3)*C8/1.665)*0.000001</f>
        <v>0.72816075301625527</v>
      </c>
    </row>
    <row r="22" spans="2:16" x14ac:dyDescent="0.2">
      <c r="B22" t="s">
        <v>27</v>
      </c>
      <c r="C22">
        <f>+D22*0.000000000000001</f>
        <v>5.7500000000000007E-13</v>
      </c>
      <c r="D22" s="27">
        <v>575</v>
      </c>
      <c r="E22" t="s">
        <v>19</v>
      </c>
      <c r="G22" s="4"/>
    </row>
    <row r="23" spans="2:16" x14ac:dyDescent="0.2">
      <c r="B23" s="11" t="s">
        <v>42</v>
      </c>
      <c r="C23" s="1">
        <f>C20/C21*0.88/C22</f>
        <v>2.5244285073957866</v>
      </c>
      <c r="D23" s="28">
        <f>+C23*0.001</f>
        <v>2.5244285073957868E-3</v>
      </c>
      <c r="E23" t="s">
        <v>29</v>
      </c>
    </row>
    <row r="24" spans="2:16" x14ac:dyDescent="0.2">
      <c r="C24" s="1"/>
      <c r="D24" s="28"/>
    </row>
    <row r="25" spans="2:16" x14ac:dyDescent="0.2">
      <c r="C25" s="1"/>
      <c r="D25" s="28"/>
    </row>
    <row r="26" spans="2:16" x14ac:dyDescent="0.2">
      <c r="B26" s="29" t="s">
        <v>56</v>
      </c>
      <c r="D26" s="27"/>
    </row>
    <row r="27" spans="2:16" x14ac:dyDescent="0.2">
      <c r="D27" s="27"/>
    </row>
    <row r="28" spans="2:16" x14ac:dyDescent="0.2">
      <c r="B28" t="s">
        <v>40</v>
      </c>
      <c r="C28">
        <f>+D28*0.001</f>
        <v>0.2</v>
      </c>
      <c r="D28" s="27">
        <v>200</v>
      </c>
      <c r="E28" t="s">
        <v>46</v>
      </c>
    </row>
    <row r="29" spans="2:16" x14ac:dyDescent="0.2">
      <c r="B29" t="s">
        <v>41</v>
      </c>
      <c r="C29" s="1">
        <f>+D29*1000000000</f>
        <v>12125000000</v>
      </c>
      <c r="D29" s="27">
        <v>12.125</v>
      </c>
      <c r="E29" t="s">
        <v>45</v>
      </c>
    </row>
    <row r="30" spans="2:16" x14ac:dyDescent="0.2">
      <c r="B30" t="s">
        <v>27</v>
      </c>
      <c r="C30">
        <f>+D30*0.000000000000001</f>
        <v>9.9999999999999998E-13</v>
      </c>
      <c r="D30" s="27">
        <v>1000</v>
      </c>
      <c r="E30" t="s">
        <v>19</v>
      </c>
    </row>
    <row r="31" spans="2:16" x14ac:dyDescent="0.2">
      <c r="B31" t="s">
        <v>42</v>
      </c>
      <c r="C31" s="1">
        <f>C28/C29*0.88/C30</f>
        <v>14.515463917525775</v>
      </c>
      <c r="D31" s="28">
        <f>+C31*0.001</f>
        <v>1.4515463917525775E-2</v>
      </c>
      <c r="E31" t="s">
        <v>29</v>
      </c>
    </row>
    <row r="32" spans="2:16" x14ac:dyDescent="0.2">
      <c r="C32" s="1"/>
      <c r="D32" s="28"/>
    </row>
    <row r="33" spans="2:5" x14ac:dyDescent="0.2">
      <c r="B33" s="29"/>
      <c r="C33" s="1"/>
      <c r="D33" s="28"/>
    </row>
    <row r="34" spans="2:5" x14ac:dyDescent="0.2">
      <c r="B34" s="29" t="s">
        <v>57</v>
      </c>
      <c r="D34" s="27"/>
    </row>
    <row r="35" spans="2:5" x14ac:dyDescent="0.2">
      <c r="D35" s="27"/>
    </row>
    <row r="36" spans="2:5" x14ac:dyDescent="0.2">
      <c r="B36" t="s">
        <v>26</v>
      </c>
      <c r="C36">
        <v>1</v>
      </c>
      <c r="D36" s="27"/>
    </row>
    <row r="37" spans="2:5" x14ac:dyDescent="0.2">
      <c r="B37" t="s">
        <v>47</v>
      </c>
      <c r="C37" s="27">
        <f>+D37*0.000000000000001</f>
        <v>7.0000000000000005E-13</v>
      </c>
      <c r="D37" s="27">
        <v>700</v>
      </c>
      <c r="E37" s="11" t="s">
        <v>19</v>
      </c>
    </row>
    <row r="38" spans="2:5" x14ac:dyDescent="0.2">
      <c r="B38" t="s">
        <v>40</v>
      </c>
      <c r="C38" s="27">
        <f>+D38</f>
        <v>0.2</v>
      </c>
      <c r="D38" s="27">
        <v>0.2</v>
      </c>
      <c r="E38" s="11" t="s">
        <v>17</v>
      </c>
    </row>
    <row r="39" spans="2:5" x14ac:dyDescent="0.2">
      <c r="B39" t="s">
        <v>48</v>
      </c>
      <c r="C39" s="27">
        <f>+C38/C16/C37*0.88</f>
        <v>20.73637702503682</v>
      </c>
      <c r="D39" s="27">
        <f>+C39/1000</f>
        <v>2.073637702503682E-2</v>
      </c>
      <c r="E39" s="11" t="s">
        <v>29</v>
      </c>
    </row>
    <row r="40" spans="2:5" x14ac:dyDescent="0.2">
      <c r="B40" t="s">
        <v>22</v>
      </c>
      <c r="C40" s="31">
        <f>2*3.1415*C5/(C12*C14)</f>
        <v>1.0491537001897531E-3</v>
      </c>
      <c r="D40" s="27">
        <f>+C40*1000</f>
        <v>1.0491537001897531</v>
      </c>
      <c r="E40" t="s">
        <v>39</v>
      </c>
    </row>
    <row r="41" spans="2:5" x14ac:dyDescent="0.2">
      <c r="B41" t="s">
        <v>14</v>
      </c>
      <c r="C41" s="27">
        <f>-C13*C14^2/(2*3.1415*C11)</f>
        <v>-22958.744702919128</v>
      </c>
      <c r="D41" s="27">
        <f>+C41</f>
        <v>-22958.744702919128</v>
      </c>
      <c r="E41" s="11" t="s">
        <v>37</v>
      </c>
    </row>
    <row r="43" spans="2:5" x14ac:dyDescent="0.2">
      <c r="B43" s="11" t="s">
        <v>28</v>
      </c>
      <c r="C43">
        <f>+SQRT(ABS(C41)/(C40*C39))</f>
        <v>1027.2781972002599</v>
      </c>
    </row>
    <row r="44" spans="2:5" x14ac:dyDescent="0.2">
      <c r="B44" t="s">
        <v>49</v>
      </c>
      <c r="C44" s="27">
        <f>+SQRT(D37^2*C40*C39/ABS(C41))</f>
        <v>0.68141230088186167</v>
      </c>
    </row>
    <row r="46" spans="2:5" x14ac:dyDescent="0.2">
      <c r="D46" s="27"/>
    </row>
    <row r="47" spans="2:5" x14ac:dyDescent="0.2">
      <c r="D47" s="27"/>
    </row>
    <row r="48" spans="2:5" x14ac:dyDescent="0.2">
      <c r="B48" s="29" t="s">
        <v>43</v>
      </c>
      <c r="D48" s="27"/>
    </row>
    <row r="49" spans="2:5" x14ac:dyDescent="0.2">
      <c r="D49" s="27"/>
    </row>
    <row r="50" spans="2:5" x14ac:dyDescent="0.2">
      <c r="B50" t="s">
        <v>26</v>
      </c>
      <c r="C50">
        <v>1</v>
      </c>
      <c r="D50" s="27"/>
    </row>
    <row r="51" spans="2:5" x14ac:dyDescent="0.2">
      <c r="B51" t="s">
        <v>47</v>
      </c>
      <c r="C51" s="27">
        <f>+D51*0.000000000000001</f>
        <v>7.9000000000000004E-14</v>
      </c>
      <c r="D51" s="27">
        <v>79</v>
      </c>
      <c r="E51" s="11" t="s">
        <v>19</v>
      </c>
    </row>
    <row r="52" spans="2:5" x14ac:dyDescent="0.2">
      <c r="B52" t="s">
        <v>40</v>
      </c>
      <c r="C52" s="27">
        <f>+D52</f>
        <v>10</v>
      </c>
      <c r="D52" s="27">
        <v>10</v>
      </c>
      <c r="E52" s="11" t="s">
        <v>17</v>
      </c>
    </row>
    <row r="53" spans="2:5" x14ac:dyDescent="0.2">
      <c r="B53" t="s">
        <v>48</v>
      </c>
      <c r="C53" s="27">
        <f>+C52/C16/C51*0.88</f>
        <v>9187.0024794466899</v>
      </c>
      <c r="D53" s="27">
        <f>+C53/1000</f>
        <v>9.18700247944669</v>
      </c>
      <c r="E53" s="11" t="s">
        <v>29</v>
      </c>
    </row>
    <row r="54" spans="2:5" x14ac:dyDescent="0.2">
      <c r="B54" t="s">
        <v>22</v>
      </c>
      <c r="C54" s="27">
        <f>2*3.1415*C5/(C12*C14)</f>
        <v>1.0491537001897531E-3</v>
      </c>
      <c r="D54" s="27">
        <f>+C54*1000</f>
        <v>1.0491537001897531</v>
      </c>
      <c r="E54" t="s">
        <v>39</v>
      </c>
    </row>
    <row r="55" spans="2:5" x14ac:dyDescent="0.2">
      <c r="B55" t="s">
        <v>14</v>
      </c>
      <c r="C55" s="27">
        <f>-C13*C14^2/(2*3.1415*C11)</f>
        <v>-22958.744702919128</v>
      </c>
      <c r="D55" s="27">
        <f>+C55</f>
        <v>-22958.744702919128</v>
      </c>
      <c r="E55" s="11" t="s">
        <v>37</v>
      </c>
    </row>
    <row r="57" spans="2:5" x14ac:dyDescent="0.2">
      <c r="B57" s="11" t="s">
        <v>28</v>
      </c>
      <c r="C57">
        <f>+SQRT(ABS(C55)/(C54*C53))</f>
        <v>48.805368282304563</v>
      </c>
    </row>
    <row r="59" spans="2:5" x14ac:dyDescent="0.2">
      <c r="B59" t="s">
        <v>49</v>
      </c>
      <c r="C59" s="27">
        <f>+SQRT(C57^2*C54*C53/ABS(C55))</f>
        <v>1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Laser Zentrum Hannover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Ignacio Baldoni</cp:lastModifiedBy>
  <cp:lastPrinted>2004-10-18T09:11:54Z</cp:lastPrinted>
  <dcterms:created xsi:type="dcterms:W3CDTF">2004-09-29T22:53:06Z</dcterms:created>
  <dcterms:modified xsi:type="dcterms:W3CDTF">2022-07-02T15:46:37Z</dcterms:modified>
</cp:coreProperties>
</file>