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aldoni\Desktop\ADAM-Carla-Smile\"/>
    </mc:Choice>
  </mc:AlternateContent>
  <bookViews>
    <workbookView xWindow="0" yWindow="0" windowWidth="28800" windowHeight="12135"/>
  </bookViews>
  <sheets>
    <sheet name="Smile" sheetId="1" r:id="rId1"/>
    <sheet name="Pedro2" sheetId="3" r:id="rId2"/>
    <sheet name="Pedr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H21" i="1" l="1"/>
  <c r="H20" i="1"/>
  <c r="H19" i="1"/>
  <c r="C13" i="1"/>
  <c r="C22" i="1" l="1"/>
  <c r="G5" i="1"/>
  <c r="F8" i="3"/>
  <c r="F6" i="3" s="1"/>
  <c r="F4" i="3" s="1"/>
  <c r="C14" i="3"/>
  <c r="P2" i="2"/>
  <c r="P16" i="2"/>
  <c r="G8" i="1" l="1"/>
  <c r="K4" i="1" s="1"/>
  <c r="K9" i="1" s="1"/>
  <c r="M9" i="1" s="1"/>
  <c r="F11" i="3"/>
  <c r="J4" i="3" s="1"/>
  <c r="J10" i="3" s="1"/>
  <c r="L10" i="3" s="1"/>
  <c r="P10" i="2"/>
  <c r="P13" i="2" s="1"/>
  <c r="P8" i="2"/>
  <c r="C19" i="1"/>
  <c r="K8" i="1" l="1"/>
  <c r="M8" i="1" s="1"/>
  <c r="K10" i="1"/>
  <c r="M10" i="1" s="1"/>
  <c r="J9" i="3"/>
  <c r="L9" i="3" s="1"/>
  <c r="J8" i="3"/>
  <c r="L8" i="3" s="1"/>
  <c r="F6" i="2"/>
  <c r="F4" i="2" s="1"/>
  <c r="F11" i="2"/>
  <c r="J4" i="2" s="1"/>
  <c r="J10" i="2" l="1"/>
  <c r="L10" i="2" s="1"/>
  <c r="J9" i="2"/>
  <c r="L9" i="2" s="1"/>
  <c r="J8" i="2"/>
  <c r="L8" i="2" s="1"/>
</calcChain>
</file>

<file path=xl/sharedStrings.xml><?xml version="1.0" encoding="utf-8"?>
<sst xmlns="http://schemas.openxmlformats.org/spreadsheetml/2006/main" count="129" uniqueCount="43">
  <si>
    <t>Resonance calculations</t>
  </si>
  <si>
    <t>N</t>
  </si>
  <si>
    <t>c</t>
  </si>
  <si>
    <t>Lres</t>
  </si>
  <si>
    <t>m</t>
  </si>
  <si>
    <t>m/s</t>
  </si>
  <si>
    <t>f</t>
  </si>
  <si>
    <t>Hz</t>
  </si>
  <si>
    <t>Resonant frequency
N*c/(2*Lres)</t>
  </si>
  <si>
    <t>dL/df
(-Lres/f)</t>
  </si>
  <si>
    <t>pm/kHz</t>
  </si>
  <si>
    <t>Parameter</t>
  </si>
  <si>
    <t>Value</t>
  </si>
  <si>
    <t>Unit</t>
  </si>
  <si>
    <t>Error propagation</t>
  </si>
  <si>
    <t>GHz</t>
  </si>
  <si>
    <t>pm</t>
  </si>
  <si>
    <t>kHz</t>
  </si>
  <si>
    <t>pm/kHz*GHz</t>
  </si>
  <si>
    <t>df_error</t>
  </si>
  <si>
    <t>dlambda_error</t>
  </si>
  <si>
    <t>nm</t>
  </si>
  <si>
    <t>25 GHz/194 THz</t>
  </si>
  <si>
    <t>200 mm</t>
  </si>
  <si>
    <t>Adaptor (15 mm)</t>
  </si>
  <si>
    <t>Mirror (6.4 mm)</t>
  </si>
  <si>
    <t>200 mm - mirrors</t>
  </si>
  <si>
    <t>Cavity length</t>
  </si>
  <si>
    <t xml:space="preserve">Mirror (6.4 mm) + piezo foil (0.1 mm) + Substrate </t>
  </si>
  <si>
    <t>mm</t>
  </si>
  <si>
    <t>dL = -Lres/f</t>
  </si>
  <si>
    <r>
      <t>D[</t>
    </r>
    <r>
      <rPr>
        <sz val="11"/>
        <color theme="1"/>
        <rFont val="Calibri"/>
        <family val="2"/>
        <scheme val="minor"/>
      </rPr>
      <t>dL]_Total</t>
    </r>
  </si>
  <si>
    <r>
      <t>D[</t>
    </r>
    <r>
      <rPr>
        <sz val="11"/>
        <color theme="1"/>
        <rFont val="Calibri"/>
        <family val="2"/>
        <scheme val="minor"/>
      </rPr>
      <t>dL]_Lvariable</t>
    </r>
  </si>
  <si>
    <r>
      <t>D[</t>
    </r>
    <r>
      <rPr>
        <sz val="11"/>
        <color theme="1"/>
        <rFont val="Calibri"/>
        <family val="2"/>
        <scheme val="minor"/>
      </rPr>
      <t>dL]_Fvariable</t>
    </r>
  </si>
  <si>
    <r>
      <t>D</t>
    </r>
    <r>
      <rPr>
        <sz val="11"/>
        <color theme="1"/>
        <rFont val="Calibri"/>
        <family val="2"/>
        <scheme val="minor"/>
      </rPr>
      <t>Lres</t>
    </r>
  </si>
  <si>
    <r>
      <t>D</t>
    </r>
    <r>
      <rPr>
        <sz val="11"/>
        <color theme="1"/>
        <rFont val="Calibri"/>
        <family val="2"/>
        <scheme val="minor"/>
      </rPr>
      <t>f</t>
    </r>
  </si>
  <si>
    <t>Cavity distribution</t>
  </si>
  <si>
    <t>Porcentage of error</t>
  </si>
  <si>
    <r>
      <t>d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error</t>
    </r>
  </si>
  <si>
    <t>df error</t>
  </si>
  <si>
    <t>7 mm (Measured by KW)</t>
  </si>
  <si>
    <t>dL/df = -Lres/f</t>
  </si>
  <si>
    <t>Frequency to Length
Conversion factor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</si>
</sst>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65" formatCode="0.000"/>
    <numFmt numFmtId="166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horizontal="center" vertical="center"/>
    </xf>
    <xf numFmtId="166" fontId="2" fillId="0" borderId="0" xfId="1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66" fontId="0" fillId="0" borderId="5" xfId="1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6" fontId="0" fillId="0" borderId="8" xfId="1" applyNumberFormat="1" applyFont="1" applyBorder="1" applyAlignment="1">
      <alignment vertical="center"/>
    </xf>
    <xf numFmtId="166" fontId="0" fillId="7" borderId="0" xfId="1" applyNumberFormat="1" applyFont="1" applyFill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11</xdr:row>
      <xdr:rowOff>0</xdr:rowOff>
    </xdr:from>
    <xdr:to>
      <xdr:col>11</xdr:col>
      <xdr:colOff>1057275</xdr:colOff>
      <xdr:row>14</xdr:row>
      <xdr:rowOff>180975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8400" b="10500"/>
        <a:stretch/>
      </xdr:blipFill>
      <xdr:spPr>
        <a:xfrm>
          <a:off x="11287125" y="2514600"/>
          <a:ext cx="194310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tabSelected="1" zoomScaleNormal="100" workbookViewId="0">
      <selection activeCell="I22" sqref="I22"/>
    </sheetView>
  </sheetViews>
  <sheetFormatPr baseColWidth="10" defaultRowHeight="15" x14ac:dyDescent="0.25"/>
  <cols>
    <col min="1" max="1" width="11.42578125" style="2"/>
    <col min="2" max="2" width="19.140625" style="2" customWidth="1"/>
    <col min="3" max="3" width="23.7109375" style="2" customWidth="1"/>
    <col min="4" max="4" width="17.28515625" style="45" customWidth="1"/>
    <col min="5" max="5" width="11.42578125" style="2"/>
    <col min="6" max="6" width="28.5703125" style="2" customWidth="1"/>
    <col min="7" max="7" width="15" style="1" bestFit="1" customWidth="1"/>
    <col min="8" max="8" width="15" style="1" customWidth="1"/>
    <col min="9" max="9" width="12.7109375" style="2" bestFit="1" customWidth="1"/>
    <col min="10" max="10" width="14.85546875" style="2" bestFit="1" customWidth="1"/>
    <col min="11" max="11" width="13.42578125" style="1" customWidth="1"/>
    <col min="12" max="12" width="25.28515625" style="1" customWidth="1"/>
    <col min="13" max="13" width="18.28515625" style="2" bestFit="1" customWidth="1"/>
    <col min="14" max="16384" width="11.42578125" style="2"/>
  </cols>
  <sheetData>
    <row r="1" spans="2:14" ht="15.75" thickBot="1" x14ac:dyDescent="0.3">
      <c r="B1" s="65" t="s">
        <v>36</v>
      </c>
      <c r="C1" s="65"/>
      <c r="D1" s="40"/>
      <c r="E1" s="49"/>
      <c r="F1" s="49"/>
      <c r="G1" s="49"/>
      <c r="H1" s="49"/>
      <c r="I1" s="49"/>
      <c r="J1" s="52"/>
      <c r="K1" s="52"/>
      <c r="L1" s="49"/>
      <c r="M1" s="49"/>
      <c r="N1" s="49"/>
    </row>
    <row r="2" spans="2:14" ht="33.75" customHeight="1" thickBot="1" x14ac:dyDescent="0.3">
      <c r="B2" s="65"/>
      <c r="C2" s="65"/>
      <c r="D2" s="40"/>
      <c r="E2" s="49"/>
      <c r="F2" s="66" t="s">
        <v>42</v>
      </c>
      <c r="G2" s="67"/>
      <c r="H2" s="68"/>
      <c r="I2" s="50"/>
      <c r="J2" s="69" t="s">
        <v>14</v>
      </c>
      <c r="K2" s="67"/>
      <c r="L2" s="67"/>
      <c r="M2" s="68"/>
      <c r="N2" s="49"/>
    </row>
    <row r="3" spans="2:14" x14ac:dyDescent="0.25">
      <c r="B3" s="70" t="s">
        <v>23</v>
      </c>
      <c r="C3" s="73" t="s">
        <v>28</v>
      </c>
      <c r="D3" s="75" t="s">
        <v>40</v>
      </c>
      <c r="E3" s="51"/>
      <c r="F3" s="8" t="s">
        <v>11</v>
      </c>
      <c r="G3" s="9" t="s">
        <v>12</v>
      </c>
      <c r="H3" s="10" t="s">
        <v>13</v>
      </c>
      <c r="I3" s="50"/>
      <c r="J3" s="8" t="s">
        <v>11</v>
      </c>
      <c r="K3" s="9" t="s">
        <v>12</v>
      </c>
      <c r="L3" s="9" t="s">
        <v>13</v>
      </c>
      <c r="M3" s="10" t="s">
        <v>37</v>
      </c>
      <c r="N3" s="49"/>
    </row>
    <row r="4" spans="2:14" x14ac:dyDescent="0.25">
      <c r="B4" s="71"/>
      <c r="C4" s="74"/>
      <c r="D4" s="75"/>
      <c r="E4" s="51"/>
      <c r="F4" s="14" t="s">
        <v>2</v>
      </c>
      <c r="G4" s="12">
        <v>299792458</v>
      </c>
      <c r="H4" s="13" t="s">
        <v>5</v>
      </c>
      <c r="I4" s="52"/>
      <c r="J4" s="14" t="s">
        <v>30</v>
      </c>
      <c r="K4" s="53">
        <f>+G8</f>
        <v>0.95987654320987659</v>
      </c>
      <c r="L4" s="54" t="s">
        <v>10</v>
      </c>
      <c r="M4" s="13"/>
      <c r="N4" s="49"/>
    </row>
    <row r="5" spans="2:14" x14ac:dyDescent="0.25">
      <c r="B5" s="71"/>
      <c r="C5" s="35"/>
      <c r="D5" s="41"/>
      <c r="E5" s="49"/>
      <c r="F5" s="14" t="s">
        <v>3</v>
      </c>
      <c r="G5" s="12">
        <f>C13*0.001</f>
        <v>0.18659999999999999</v>
      </c>
      <c r="H5" s="13" t="s">
        <v>4</v>
      </c>
      <c r="I5" s="52"/>
      <c r="J5" s="55" t="s">
        <v>34</v>
      </c>
      <c r="K5" s="12">
        <v>1E-4</v>
      </c>
      <c r="L5" s="12" t="s">
        <v>4</v>
      </c>
      <c r="M5" s="13"/>
      <c r="N5" s="49"/>
    </row>
    <row r="6" spans="2:14" x14ac:dyDescent="0.25">
      <c r="B6" s="71"/>
      <c r="C6" s="32"/>
      <c r="D6" s="41"/>
      <c r="E6" s="49"/>
      <c r="F6" s="14" t="s">
        <v>6</v>
      </c>
      <c r="G6" s="15">
        <v>194400000000000</v>
      </c>
      <c r="H6" s="13" t="s">
        <v>7</v>
      </c>
      <c r="I6" s="52"/>
      <c r="J6" s="55" t="s">
        <v>35</v>
      </c>
      <c r="K6" s="56">
        <v>25000000000</v>
      </c>
      <c r="L6" s="12" t="s">
        <v>7</v>
      </c>
      <c r="M6" s="13"/>
      <c r="N6" s="49"/>
    </row>
    <row r="7" spans="2:14" x14ac:dyDescent="0.25">
      <c r="B7" s="71"/>
      <c r="C7" s="36" t="s">
        <v>26</v>
      </c>
      <c r="D7" s="42"/>
      <c r="E7" s="49"/>
      <c r="F7" s="14"/>
      <c r="G7" s="12"/>
      <c r="H7" s="13"/>
      <c r="I7" s="52"/>
      <c r="J7" s="11"/>
      <c r="K7" s="12"/>
      <c r="L7" s="12"/>
      <c r="M7" s="13"/>
      <c r="N7" s="49"/>
    </row>
    <row r="8" spans="2:14" ht="15.75" thickBot="1" x14ac:dyDescent="0.3">
      <c r="B8" s="71"/>
      <c r="C8" s="32"/>
      <c r="D8" s="41"/>
      <c r="E8" s="49"/>
      <c r="F8" s="17" t="s">
        <v>41</v>
      </c>
      <c r="G8" s="18">
        <f>G5/G6*1000000000000000</f>
        <v>0.95987654320987659</v>
      </c>
      <c r="H8" s="19" t="s">
        <v>10</v>
      </c>
      <c r="I8" s="52"/>
      <c r="J8" s="55" t="s">
        <v>31</v>
      </c>
      <c r="K8" s="56">
        <f>+K$4*SQRT((K$5/G$5)^2+(K$6/G$6)^2)</f>
        <v>5.290070000738776E-4</v>
      </c>
      <c r="L8" s="54" t="s">
        <v>10</v>
      </c>
      <c r="M8" s="57">
        <f>+K8/K$4</f>
        <v>5.5111983287439335E-4</v>
      </c>
      <c r="N8" s="49"/>
    </row>
    <row r="9" spans="2:14" x14ac:dyDescent="0.25">
      <c r="B9" s="71"/>
      <c r="C9" s="32"/>
      <c r="D9" s="41"/>
      <c r="E9" s="49"/>
      <c r="G9" s="52"/>
      <c r="I9" s="52"/>
      <c r="J9" s="55" t="s">
        <v>32</v>
      </c>
      <c r="K9" s="56">
        <f>+K$4*SQRT((K$5/G$5)^2)</f>
        <v>5.1440329218107011E-4</v>
      </c>
      <c r="L9" s="54" t="s">
        <v>10</v>
      </c>
      <c r="M9" s="57">
        <f>+K9/K$4</f>
        <v>5.3590568060021446E-4</v>
      </c>
      <c r="N9" s="49"/>
    </row>
    <row r="10" spans="2:14" ht="15.75" thickBot="1" x14ac:dyDescent="0.3">
      <c r="B10" s="71"/>
      <c r="C10" s="33"/>
      <c r="D10" s="41"/>
      <c r="E10" s="49"/>
      <c r="F10" s="49"/>
      <c r="G10" s="52"/>
      <c r="H10" s="52"/>
      <c r="I10" s="52"/>
      <c r="J10" s="58" t="s">
        <v>33</v>
      </c>
      <c r="K10" s="59">
        <f>+K$4*SQRT((K$6/G$6)^2)</f>
        <v>1.234409134786364E-4</v>
      </c>
      <c r="L10" s="60" t="s">
        <v>10</v>
      </c>
      <c r="M10" s="61">
        <f>+K10/K$4</f>
        <v>1.286008230452675E-4</v>
      </c>
      <c r="N10" s="49"/>
    </row>
    <row r="11" spans="2:14" ht="15.75" thickBot="1" x14ac:dyDescent="0.3">
      <c r="B11" s="72"/>
      <c r="C11" s="34" t="s">
        <v>25</v>
      </c>
      <c r="D11" s="43"/>
      <c r="E11" s="49"/>
      <c r="F11" s="49"/>
      <c r="G11" s="52"/>
      <c r="H11" s="52"/>
      <c r="I11" s="52"/>
      <c r="J11" s="52"/>
      <c r="K11" s="52"/>
      <c r="L11" s="52"/>
      <c r="M11" s="52"/>
      <c r="N11" s="49"/>
    </row>
    <row r="12" spans="2:14" x14ac:dyDescent="0.25">
      <c r="B12" s="1"/>
      <c r="C12" s="1"/>
      <c r="D12" s="40"/>
      <c r="E12" s="49"/>
      <c r="F12" s="52"/>
      <c r="G12" s="52"/>
      <c r="H12" s="52"/>
      <c r="I12" s="52"/>
      <c r="J12" s="52"/>
      <c r="K12" s="52"/>
      <c r="L12" s="62"/>
      <c r="M12" s="52"/>
      <c r="N12" s="49"/>
    </row>
    <row r="13" spans="2:14" x14ac:dyDescent="0.25">
      <c r="B13" s="5" t="s">
        <v>27</v>
      </c>
      <c r="C13" s="5">
        <f>200-7-6.4</f>
        <v>186.6</v>
      </c>
      <c r="D13" s="44"/>
      <c r="E13" s="49"/>
      <c r="F13" s="49"/>
      <c r="G13" s="49"/>
      <c r="H13" s="49"/>
      <c r="I13" s="49"/>
      <c r="J13" s="52"/>
      <c r="K13" s="52"/>
      <c r="L13" s="49"/>
      <c r="M13" s="63"/>
      <c r="N13" s="63"/>
    </row>
    <row r="14" spans="2:14" x14ac:dyDescent="0.25">
      <c r="B14" s="1"/>
      <c r="C14" s="1"/>
      <c r="D14" s="40"/>
      <c r="J14" s="45"/>
      <c r="K14" s="45"/>
      <c r="L14" s="45"/>
      <c r="M14" s="41"/>
      <c r="N14" s="41"/>
    </row>
    <row r="15" spans="2:14" x14ac:dyDescent="0.25">
      <c r="K15" s="2"/>
      <c r="L15" s="2"/>
    </row>
    <row r="16" spans="2:14" x14ac:dyDescent="0.25">
      <c r="B16" s="1" t="s">
        <v>16</v>
      </c>
      <c r="C16" s="3">
        <v>9.9999999999999998E-13</v>
      </c>
      <c r="D16" s="46"/>
      <c r="K16" s="2"/>
      <c r="L16" s="2"/>
    </row>
    <row r="17" spans="2:13" x14ac:dyDescent="0.25">
      <c r="B17" s="1" t="s">
        <v>15</v>
      </c>
      <c r="C17" s="3">
        <v>1000000000</v>
      </c>
      <c r="D17" s="46"/>
      <c r="K17" s="2"/>
      <c r="L17" s="2"/>
    </row>
    <row r="18" spans="2:13" x14ac:dyDescent="0.25">
      <c r="B18" s="1" t="s">
        <v>17</v>
      </c>
      <c r="C18" s="3">
        <v>1000</v>
      </c>
      <c r="D18" s="46"/>
      <c r="I18" s="24"/>
      <c r="J18" s="64"/>
      <c r="K18" s="12"/>
      <c r="L18" s="12"/>
      <c r="M18" s="24"/>
    </row>
    <row r="19" spans="2:13" x14ac:dyDescent="0.25">
      <c r="B19" s="1" t="s">
        <v>18</v>
      </c>
      <c r="C19" s="3">
        <f>+C17*C18/C16</f>
        <v>9.9999999999999998E+23</v>
      </c>
      <c r="D19" s="46"/>
      <c r="F19" s="2">
        <v>300</v>
      </c>
      <c r="G19" s="1">
        <v>1.073</v>
      </c>
      <c r="H19" s="1">
        <f>+F19*G19</f>
        <v>321.89999999999998</v>
      </c>
      <c r="I19" s="24"/>
      <c r="J19" s="12"/>
      <c r="K19" s="12"/>
      <c r="L19" s="12"/>
      <c r="M19" s="24"/>
    </row>
    <row r="20" spans="2:13" x14ac:dyDescent="0.25">
      <c r="F20" s="2">
        <v>50</v>
      </c>
      <c r="G20" s="30">
        <v>1.073</v>
      </c>
      <c r="H20" s="30">
        <f>+F20*G20</f>
        <v>53.65</v>
      </c>
      <c r="I20" s="24"/>
      <c r="J20" s="54"/>
      <c r="K20" s="12"/>
      <c r="L20" s="12"/>
      <c r="M20" s="24"/>
    </row>
    <row r="21" spans="2:13" x14ac:dyDescent="0.25">
      <c r="B21" s="1" t="s">
        <v>38</v>
      </c>
      <c r="C21" s="1">
        <v>0.2</v>
      </c>
      <c r="D21" s="1" t="s">
        <v>21</v>
      </c>
      <c r="F21" s="2">
        <v>150</v>
      </c>
      <c r="G21" s="30">
        <v>1.073</v>
      </c>
      <c r="H21" s="30">
        <f>+F21*G21</f>
        <v>160.94999999999999</v>
      </c>
    </row>
    <row r="22" spans="2:13" x14ac:dyDescent="0.25">
      <c r="B22" s="1" t="s">
        <v>39</v>
      </c>
      <c r="C22" s="20">
        <f>(+C21*0.000000001*G4/(0.00000154214)^2)*0.000000001</f>
        <v>25.21175595143168</v>
      </c>
      <c r="D22" s="1" t="s">
        <v>15</v>
      </c>
    </row>
    <row r="23" spans="2:13" x14ac:dyDescent="0.25">
      <c r="F23" s="5"/>
      <c r="G23" s="38"/>
      <c r="H23" s="38"/>
      <c r="I23" s="38"/>
      <c r="J23" s="38"/>
    </row>
    <row r="24" spans="2:13" x14ac:dyDescent="0.25">
      <c r="F24" s="5"/>
      <c r="G24" s="5"/>
      <c r="H24" s="5"/>
      <c r="I24" s="5"/>
      <c r="J24" s="5"/>
    </row>
    <row r="25" spans="2:13" x14ac:dyDescent="0.25">
      <c r="F25" s="1"/>
      <c r="H25" s="7"/>
      <c r="I25" s="1"/>
    </row>
    <row r="26" spans="2:13" x14ac:dyDescent="0.25">
      <c r="F26" s="1"/>
      <c r="H26" s="7"/>
    </row>
    <row r="27" spans="2:13" x14ac:dyDescent="0.25">
      <c r="F27" s="1"/>
      <c r="G27" s="2"/>
    </row>
    <row r="28" spans="2:13" x14ac:dyDescent="0.25">
      <c r="F28" s="1"/>
    </row>
    <row r="29" spans="2:13" x14ac:dyDescent="0.25">
      <c r="F29" s="1"/>
    </row>
    <row r="30" spans="2:13" x14ac:dyDescent="0.25">
      <c r="F30" s="1"/>
    </row>
    <row r="31" spans="2:13" x14ac:dyDescent="0.25">
      <c r="F31" s="1"/>
      <c r="H31" s="7"/>
    </row>
    <row r="32" spans="2:13" x14ac:dyDescent="0.25">
      <c r="F32" s="1"/>
      <c r="J32" s="1"/>
    </row>
    <row r="33" spans="2:13" x14ac:dyDescent="0.25">
      <c r="B33" s="1"/>
      <c r="C33" s="1"/>
      <c r="D33" s="40"/>
      <c r="E33" s="1"/>
      <c r="F33" s="1"/>
      <c r="H33"/>
      <c r="J33" s="1"/>
    </row>
    <row r="34" spans="2:13" x14ac:dyDescent="0.25">
      <c r="H34" s="7"/>
    </row>
    <row r="37" spans="2:13" ht="30.75" customHeight="1" x14ac:dyDescent="0.25">
      <c r="K37" s="37"/>
      <c r="L37" s="37"/>
      <c r="M37" s="37"/>
    </row>
    <row r="38" spans="2:13" x14ac:dyDescent="0.25">
      <c r="K38" s="37"/>
      <c r="L38" s="37"/>
      <c r="M38" s="37"/>
    </row>
    <row r="39" spans="2:13" x14ac:dyDescent="0.25">
      <c r="K39" s="37"/>
      <c r="L39" s="37"/>
      <c r="M39" s="37"/>
    </row>
    <row r="40" spans="2:13" x14ac:dyDescent="0.25">
      <c r="K40" s="37"/>
      <c r="L40" s="37"/>
      <c r="M40" s="37"/>
    </row>
    <row r="41" spans="2:13" x14ac:dyDescent="0.25">
      <c r="K41" s="37"/>
      <c r="L41" s="37"/>
      <c r="M41" s="37"/>
    </row>
    <row r="42" spans="2:13" x14ac:dyDescent="0.25">
      <c r="B42" s="1"/>
      <c r="C42" s="1"/>
      <c r="D42" s="40"/>
      <c r="E42" s="7"/>
      <c r="K42" s="37"/>
      <c r="L42" s="37"/>
      <c r="M42" s="37"/>
    </row>
    <row r="43" spans="2:13" x14ac:dyDescent="0.25">
      <c r="B43" s="1"/>
      <c r="C43" s="7"/>
      <c r="D43" s="47"/>
      <c r="E43" s="7"/>
      <c r="K43" s="37"/>
      <c r="L43" s="37"/>
      <c r="M43" s="37"/>
    </row>
    <row r="44" spans="2:13" x14ac:dyDescent="0.25">
      <c r="K44" s="37"/>
      <c r="L44" s="37"/>
      <c r="M44" s="37"/>
    </row>
    <row r="45" spans="2:13" x14ac:dyDescent="0.25">
      <c r="K45" s="37"/>
      <c r="L45" s="37"/>
      <c r="M45" s="37"/>
    </row>
    <row r="46" spans="2:13" x14ac:dyDescent="0.25">
      <c r="B46" s="1"/>
      <c r="C46" s="1"/>
      <c r="D46" s="40"/>
      <c r="E46" s="1"/>
      <c r="K46" s="37"/>
      <c r="L46" s="37"/>
      <c r="M46" s="37"/>
    </row>
    <row r="47" spans="2:13" x14ac:dyDescent="0.25">
      <c r="B47" s="5"/>
      <c r="C47" s="21"/>
      <c r="D47" s="48"/>
      <c r="E47" s="7"/>
      <c r="K47" s="37"/>
      <c r="L47" s="37"/>
      <c r="M47" s="37"/>
    </row>
    <row r="48" spans="2:13" x14ac:dyDescent="0.25">
      <c r="K48" s="37"/>
      <c r="L48" s="37"/>
      <c r="M48" s="37"/>
    </row>
    <row r="49" spans="2:13" x14ac:dyDescent="0.25">
      <c r="F49" s="1"/>
      <c r="K49" s="37"/>
      <c r="L49" s="37"/>
      <c r="M49" s="37"/>
    </row>
    <row r="50" spans="2:13" x14ac:dyDescent="0.25">
      <c r="B50" s="1"/>
      <c r="F50" s="1"/>
    </row>
    <row r="51" spans="2:13" x14ac:dyDescent="0.25">
      <c r="B51" s="1"/>
      <c r="E51" s="3"/>
      <c r="F51" s="1"/>
    </row>
    <row r="52" spans="2:13" x14ac:dyDescent="0.25">
      <c r="B52" s="1"/>
      <c r="F52" s="1"/>
    </row>
    <row r="53" spans="2:13" x14ac:dyDescent="0.25">
      <c r="B53" s="1"/>
      <c r="E53" s="3"/>
      <c r="F53" s="1"/>
    </row>
    <row r="54" spans="2:13" x14ac:dyDescent="0.25">
      <c r="B54" s="1"/>
      <c r="C54" s="1"/>
      <c r="D54" s="40"/>
      <c r="F54" s="1"/>
    </row>
    <row r="55" spans="2:13" x14ac:dyDescent="0.25">
      <c r="B55" s="5"/>
      <c r="E55" s="7"/>
      <c r="F55" s="1"/>
    </row>
    <row r="62" spans="2:13" x14ac:dyDescent="0.25">
      <c r="H62" s="6"/>
    </row>
  </sheetData>
  <mergeCells count="6">
    <mergeCell ref="B1:C2"/>
    <mergeCell ref="F2:H2"/>
    <mergeCell ref="J2:M2"/>
    <mergeCell ref="B3:B11"/>
    <mergeCell ref="C3:C4"/>
    <mergeCell ref="D3:D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workbookViewId="0">
      <selection activeCell="F28" sqref="F28"/>
    </sheetView>
  </sheetViews>
  <sheetFormatPr baseColWidth="10" defaultRowHeight="15" x14ac:dyDescent="0.25"/>
  <cols>
    <col min="1" max="1" width="4" style="2" customWidth="1"/>
    <col min="2" max="2" width="11.42578125" style="2"/>
    <col min="3" max="3" width="15.85546875" style="2" bestFit="1" customWidth="1"/>
    <col min="4" max="4" width="11.42578125" style="2"/>
    <col min="5" max="5" width="19.140625" style="2" customWidth="1"/>
    <col min="6" max="7" width="12" style="2" bestFit="1" customWidth="1"/>
    <col min="8" max="8" width="11.42578125" style="2"/>
    <col min="9" max="9" width="15" style="1" bestFit="1" customWidth="1"/>
    <col min="10" max="10" width="15" style="1" customWidth="1"/>
    <col min="11" max="11" width="12.7109375" style="2" bestFit="1" customWidth="1"/>
    <col min="12" max="12" width="18.28515625" style="2" bestFit="1" customWidth="1"/>
    <col min="13" max="13" width="16.140625" style="2" customWidth="1"/>
    <col min="14" max="14" width="11.42578125" style="2"/>
    <col min="15" max="15" width="31.42578125" style="2" customWidth="1"/>
    <col min="16" max="16384" width="11.42578125" style="2"/>
  </cols>
  <sheetData>
    <row r="1" spans="2:17" ht="15.75" thickBot="1" x14ac:dyDescent="0.3">
      <c r="B1" s="65" t="s">
        <v>36</v>
      </c>
      <c r="C1" s="65"/>
    </row>
    <row r="2" spans="2:17" ht="15.75" thickBot="1" x14ac:dyDescent="0.3">
      <c r="B2" s="65"/>
      <c r="C2" s="65"/>
      <c r="E2" s="69" t="s">
        <v>0</v>
      </c>
      <c r="F2" s="67"/>
      <c r="G2" s="68"/>
      <c r="H2" s="5"/>
      <c r="I2" s="76" t="s">
        <v>14</v>
      </c>
      <c r="J2" s="76"/>
      <c r="K2" s="76"/>
      <c r="L2" s="76"/>
      <c r="Q2" s="1"/>
    </row>
    <row r="3" spans="2:17" ht="15.75" thickBot="1" x14ac:dyDescent="0.3">
      <c r="B3" s="24"/>
      <c r="C3" s="22" t="s">
        <v>24</v>
      </c>
      <c r="E3" s="8" t="s">
        <v>11</v>
      </c>
      <c r="F3" s="9" t="s">
        <v>12</v>
      </c>
      <c r="G3" s="10" t="s">
        <v>13</v>
      </c>
      <c r="H3" s="5"/>
      <c r="I3" s="9" t="s">
        <v>11</v>
      </c>
      <c r="J3" s="9" t="s">
        <v>12</v>
      </c>
      <c r="K3" s="9" t="s">
        <v>13</v>
      </c>
      <c r="L3" s="9" t="s">
        <v>37</v>
      </c>
      <c r="P3" s="3"/>
      <c r="Q3" s="1"/>
    </row>
    <row r="4" spans="2:17" ht="30" x14ac:dyDescent="0.25">
      <c r="B4" s="70" t="s">
        <v>23</v>
      </c>
      <c r="C4" s="79"/>
      <c r="E4" s="16" t="s">
        <v>8</v>
      </c>
      <c r="F4" s="12">
        <f>+F6*F7/(2*F8)</f>
        <v>194399456490067.09</v>
      </c>
      <c r="G4" s="13" t="s">
        <v>7</v>
      </c>
      <c r="H4" s="1"/>
      <c r="I4" s="5" t="s">
        <v>30</v>
      </c>
      <c r="J4" s="27">
        <f>+F11</f>
        <v>1.073045267489712</v>
      </c>
      <c r="K4" s="5" t="s">
        <v>10</v>
      </c>
      <c r="L4" s="1"/>
      <c r="O4" s="1"/>
      <c r="P4" s="3"/>
    </row>
    <row r="5" spans="2:17" x14ac:dyDescent="0.25">
      <c r="B5" s="71"/>
      <c r="C5" s="80"/>
      <c r="E5" s="11"/>
      <c r="F5" s="12"/>
      <c r="G5" s="13"/>
      <c r="H5" s="1"/>
      <c r="I5" s="26" t="s">
        <v>34</v>
      </c>
      <c r="J5" s="1">
        <v>1E-4</v>
      </c>
      <c r="K5" s="1" t="s">
        <v>4</v>
      </c>
      <c r="L5" s="1"/>
      <c r="O5" s="1"/>
      <c r="P5" s="3"/>
    </row>
    <row r="6" spans="2:17" x14ac:dyDescent="0.25">
      <c r="B6" s="77"/>
      <c r="C6" s="80"/>
      <c r="E6" s="14" t="s">
        <v>1</v>
      </c>
      <c r="F6" s="12">
        <f>+INT((F9/F7)*(2*F8))</f>
        <v>270532</v>
      </c>
      <c r="G6" s="13"/>
      <c r="H6" s="1"/>
      <c r="I6" s="26" t="s">
        <v>35</v>
      </c>
      <c r="J6" s="7">
        <v>25000000000</v>
      </c>
      <c r="K6" s="1" t="s">
        <v>7</v>
      </c>
      <c r="L6" s="1"/>
      <c r="O6" s="1"/>
      <c r="P6" s="3"/>
    </row>
    <row r="7" spans="2:17" x14ac:dyDescent="0.25">
      <c r="B7" s="77"/>
      <c r="C7" s="80"/>
      <c r="E7" s="14" t="s">
        <v>2</v>
      </c>
      <c r="F7" s="12">
        <v>299792458</v>
      </c>
      <c r="G7" s="13" t="s">
        <v>5</v>
      </c>
      <c r="H7" s="1"/>
      <c r="K7" s="1"/>
      <c r="L7" s="1"/>
      <c r="O7" s="1"/>
      <c r="P7" s="3"/>
    </row>
    <row r="8" spans="2:17" x14ac:dyDescent="0.25">
      <c r="B8" s="77"/>
      <c r="C8" s="80"/>
      <c r="E8" s="14" t="s">
        <v>3</v>
      </c>
      <c r="F8" s="12">
        <f>C14*0.001</f>
        <v>0.20860000000000001</v>
      </c>
      <c r="G8" s="13" t="s">
        <v>4</v>
      </c>
      <c r="H8" s="1"/>
      <c r="I8" s="26" t="s">
        <v>31</v>
      </c>
      <c r="J8" s="7">
        <f>+J$4*SQRT((J$5/F$8)^2+(J$6/F$9)^2)</f>
        <v>5.3259105352661425E-4</v>
      </c>
      <c r="K8" s="5" t="s">
        <v>10</v>
      </c>
      <c r="L8" s="29">
        <f>+J8/J$4</f>
        <v>4.9633605371799522E-4</v>
      </c>
      <c r="O8" s="1"/>
      <c r="P8" s="3"/>
    </row>
    <row r="9" spans="2:17" x14ac:dyDescent="0.25">
      <c r="B9" s="77"/>
      <c r="C9" s="80"/>
      <c r="E9" s="14" t="s">
        <v>6</v>
      </c>
      <c r="F9" s="15">
        <v>194400000000000</v>
      </c>
      <c r="G9" s="13" t="s">
        <v>7</v>
      </c>
      <c r="H9" s="1"/>
      <c r="I9" s="26" t="s">
        <v>32</v>
      </c>
      <c r="J9" s="7">
        <f>+J$4*SQRT((J$5/F$8)^2)</f>
        <v>5.1440329218107E-4</v>
      </c>
      <c r="K9" s="5" t="s">
        <v>10</v>
      </c>
      <c r="L9" s="29">
        <f>+J9/J$4</f>
        <v>4.7938638542665391E-4</v>
      </c>
    </row>
    <row r="10" spans="2:17" x14ac:dyDescent="0.25">
      <c r="B10" s="77"/>
      <c r="C10" s="80"/>
      <c r="E10" s="14"/>
      <c r="F10" s="12"/>
      <c r="G10" s="13"/>
      <c r="H10" s="1"/>
      <c r="I10" s="26" t="s">
        <v>33</v>
      </c>
      <c r="J10" s="7">
        <f>+J$4*SQRT((J$6/F$9)^2)</f>
        <v>1.3799450456400617E-4</v>
      </c>
      <c r="K10" s="5" t="s">
        <v>10</v>
      </c>
      <c r="L10" s="29">
        <f>+J10/J$4</f>
        <v>1.286008230452675E-4</v>
      </c>
      <c r="O10" s="1"/>
      <c r="P10" s="20"/>
      <c r="Q10" s="1"/>
    </row>
    <row r="11" spans="2:17" ht="30.75" thickBot="1" x14ac:dyDescent="0.3">
      <c r="B11" s="77"/>
      <c r="C11" s="81"/>
      <c r="E11" s="17" t="s">
        <v>9</v>
      </c>
      <c r="F11" s="18">
        <f>F8/F9*1000000000000000</f>
        <v>1.073045267489712</v>
      </c>
      <c r="G11" s="19" t="s">
        <v>10</v>
      </c>
      <c r="H11" s="1"/>
      <c r="K11" s="1"/>
      <c r="L11" s="1"/>
      <c r="O11" s="1"/>
      <c r="P11" s="1"/>
      <c r="Q11" s="1"/>
    </row>
    <row r="12" spans="2:17" ht="15.75" thickBot="1" x14ac:dyDescent="0.3">
      <c r="B12" s="78"/>
      <c r="C12" s="23" t="s">
        <v>25</v>
      </c>
      <c r="E12" s="1"/>
      <c r="F12" s="1"/>
      <c r="G12" s="1"/>
      <c r="H12" s="1"/>
      <c r="K12" s="31"/>
      <c r="L12" s="1"/>
      <c r="O12" s="1"/>
      <c r="P12" s="1"/>
      <c r="Q12" s="1"/>
    </row>
    <row r="13" spans="2:17" x14ac:dyDescent="0.25">
      <c r="L13" s="24"/>
      <c r="M13" s="24"/>
      <c r="O13" s="5"/>
      <c r="P13" s="21"/>
      <c r="Q13" s="7"/>
    </row>
    <row r="14" spans="2:17" x14ac:dyDescent="0.25">
      <c r="B14" s="5" t="s">
        <v>27</v>
      </c>
      <c r="C14" s="2">
        <f>200-6.4+15</f>
        <v>208.6</v>
      </c>
      <c r="D14" s="2" t="s">
        <v>29</v>
      </c>
      <c r="I14" s="2"/>
      <c r="J14" s="2"/>
      <c r="L14" s="24"/>
      <c r="M14" s="24"/>
      <c r="N14" s="24"/>
    </row>
    <row r="15" spans="2:17" x14ac:dyDescent="0.25">
      <c r="I15" s="2"/>
      <c r="J15" s="2"/>
    </row>
    <row r="16" spans="2:17" x14ac:dyDescent="0.25">
      <c r="I16" s="2"/>
      <c r="J16" s="2"/>
      <c r="O16" s="1"/>
      <c r="P16" s="1"/>
    </row>
    <row r="17" spans="5:16" x14ac:dyDescent="0.25">
      <c r="I17" s="2"/>
      <c r="J17" s="2"/>
      <c r="O17" s="1"/>
      <c r="P17" s="1"/>
    </row>
    <row r="18" spans="5:16" x14ac:dyDescent="0.25">
      <c r="I18" s="2"/>
      <c r="J18" s="2"/>
    </row>
    <row r="19" spans="5:16" x14ac:dyDescent="0.25">
      <c r="I19" s="2"/>
      <c r="J19" s="2"/>
    </row>
    <row r="20" spans="5:16" x14ac:dyDescent="0.25">
      <c r="I20" s="2"/>
      <c r="J20" s="2"/>
    </row>
    <row r="21" spans="5:16" x14ac:dyDescent="0.25">
      <c r="K21" s="28"/>
    </row>
    <row r="22" spans="5:16" x14ac:dyDescent="0.25">
      <c r="K22" s="28"/>
    </row>
    <row r="24" spans="5:16" x14ac:dyDescent="0.25">
      <c r="G24" s="25"/>
    </row>
    <row r="26" spans="5:16" x14ac:dyDescent="0.25">
      <c r="E26" s="1"/>
      <c r="F26" s="1"/>
      <c r="G26" s="1"/>
    </row>
    <row r="27" spans="5:16" x14ac:dyDescent="0.25">
      <c r="E27" s="1"/>
      <c r="F27" s="1"/>
      <c r="G27" s="1"/>
    </row>
    <row r="28" spans="5:16" x14ac:dyDescent="0.25">
      <c r="E28" s="1"/>
      <c r="F28" s="1"/>
      <c r="G28" s="4"/>
      <c r="H28" s="1"/>
    </row>
    <row r="29" spans="5:16" x14ac:dyDescent="0.25">
      <c r="E29" s="1"/>
    </row>
    <row r="30" spans="5:16" x14ac:dyDescent="0.25">
      <c r="E30" s="1"/>
    </row>
    <row r="31" spans="5:16" x14ac:dyDescent="0.25">
      <c r="E31" s="1"/>
    </row>
    <row r="32" spans="5:16" x14ac:dyDescent="0.25">
      <c r="E32" s="1"/>
    </row>
    <row r="33" spans="5:10" x14ac:dyDescent="0.25">
      <c r="E33" s="1"/>
    </row>
    <row r="34" spans="5:10" x14ac:dyDescent="0.25">
      <c r="E34" s="5"/>
    </row>
    <row r="41" spans="5:10" x14ac:dyDescent="0.25">
      <c r="J41" s="6"/>
    </row>
    <row r="45" spans="5:10" x14ac:dyDescent="0.25">
      <c r="F45" s="1"/>
      <c r="G45" s="1"/>
    </row>
  </sheetData>
  <mergeCells count="5">
    <mergeCell ref="B1:C2"/>
    <mergeCell ref="E2:G2"/>
    <mergeCell ref="I2:L2"/>
    <mergeCell ref="B4:B12"/>
    <mergeCell ref="C4:C1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workbookViewId="0">
      <selection activeCell="H25" sqref="H25"/>
    </sheetView>
  </sheetViews>
  <sheetFormatPr baseColWidth="10" defaultRowHeight="15" x14ac:dyDescent="0.25"/>
  <cols>
    <col min="1" max="1" width="4" style="2" customWidth="1"/>
    <col min="2" max="2" width="12.5703125" style="2" bestFit="1" customWidth="1"/>
    <col min="3" max="3" width="15.85546875" style="2" bestFit="1" customWidth="1"/>
    <col min="4" max="4" width="11.42578125" style="2"/>
    <col min="5" max="5" width="19.140625" style="2" customWidth="1"/>
    <col min="6" max="8" width="12" style="2" bestFit="1" customWidth="1"/>
    <col min="9" max="9" width="15" style="1" bestFit="1" customWidth="1"/>
    <col min="10" max="10" width="15" style="1" customWidth="1"/>
    <col min="11" max="11" width="12.7109375" style="2" bestFit="1" customWidth="1"/>
    <col min="12" max="12" width="18.28515625" style="2" bestFit="1" customWidth="1"/>
    <col min="13" max="13" width="16.140625" style="2" customWidth="1"/>
    <col min="14" max="14" width="11.42578125" style="2"/>
    <col min="15" max="15" width="31.42578125" style="2" customWidth="1"/>
    <col min="16" max="16384" width="11.42578125" style="2"/>
  </cols>
  <sheetData>
    <row r="1" spans="2:17" ht="15.75" thickBot="1" x14ac:dyDescent="0.3">
      <c r="B1" s="65" t="s">
        <v>36</v>
      </c>
      <c r="C1" s="65"/>
    </row>
    <row r="2" spans="2:17" ht="15.75" thickBot="1" x14ac:dyDescent="0.3">
      <c r="B2" s="65"/>
      <c r="C2" s="65"/>
      <c r="E2" s="69" t="s">
        <v>0</v>
      </c>
      <c r="F2" s="67"/>
      <c r="G2" s="68"/>
      <c r="H2" s="5"/>
      <c r="I2" s="76" t="s">
        <v>14</v>
      </c>
      <c r="J2" s="76"/>
      <c r="K2" s="76"/>
      <c r="L2" s="76"/>
      <c r="P2" s="2">
        <f>0.1047*0.1/203.6</f>
        <v>5.1424361493123773E-5</v>
      </c>
      <c r="Q2" s="1"/>
    </row>
    <row r="3" spans="2:17" ht="15.75" thickBot="1" x14ac:dyDescent="0.3">
      <c r="B3" s="24"/>
      <c r="C3" s="22" t="s">
        <v>24</v>
      </c>
      <c r="E3" s="8" t="s">
        <v>11</v>
      </c>
      <c r="F3" s="9" t="s">
        <v>12</v>
      </c>
      <c r="G3" s="10" t="s">
        <v>13</v>
      </c>
      <c r="H3" s="5"/>
      <c r="I3" s="9" t="s">
        <v>11</v>
      </c>
      <c r="J3" s="9" t="s">
        <v>12</v>
      </c>
      <c r="K3" s="9" t="s">
        <v>13</v>
      </c>
      <c r="L3" s="9" t="s">
        <v>37</v>
      </c>
      <c r="P3" s="3"/>
      <c r="Q3" s="1"/>
    </row>
    <row r="4" spans="2:17" ht="30" x14ac:dyDescent="0.25">
      <c r="B4" s="70" t="s">
        <v>23</v>
      </c>
      <c r="C4" s="79"/>
      <c r="E4" s="16" t="s">
        <v>8</v>
      </c>
      <c r="F4" s="12">
        <f>+F6*F7/(2*F8)</f>
        <v>194399800957721.03</v>
      </c>
      <c r="G4" s="13" t="s">
        <v>7</v>
      </c>
      <c r="H4" s="1"/>
      <c r="I4" s="5" t="s">
        <v>30</v>
      </c>
      <c r="J4" s="27">
        <f>+F11</f>
        <v>1.0473251028806585</v>
      </c>
      <c r="K4" s="5" t="s">
        <v>10</v>
      </c>
      <c r="L4" s="1"/>
      <c r="O4" s="1" t="s">
        <v>16</v>
      </c>
      <c r="P4" s="3">
        <v>9.9999999999999998E-13</v>
      </c>
    </row>
    <row r="5" spans="2:17" x14ac:dyDescent="0.25">
      <c r="B5" s="71"/>
      <c r="C5" s="80"/>
      <c r="E5" s="11"/>
      <c r="F5" s="12"/>
      <c r="G5" s="13"/>
      <c r="H5" s="1"/>
      <c r="I5" s="26" t="s">
        <v>34</v>
      </c>
      <c r="J5" s="1">
        <v>1E-4</v>
      </c>
      <c r="K5" s="1" t="s">
        <v>4</v>
      </c>
      <c r="L5" s="1"/>
      <c r="O5" s="1"/>
      <c r="P5" s="3"/>
    </row>
    <row r="6" spans="2:17" x14ac:dyDescent="0.25">
      <c r="B6" s="77"/>
      <c r="C6" s="80"/>
      <c r="E6" s="14" t="s">
        <v>1</v>
      </c>
      <c r="F6" s="12">
        <f>+INT((F9/F7)*(2*F8))</f>
        <v>264048</v>
      </c>
      <c r="G6" s="13"/>
      <c r="H6" s="1"/>
      <c r="I6" s="26" t="s">
        <v>35</v>
      </c>
      <c r="J6" s="7">
        <v>25000000000</v>
      </c>
      <c r="K6" s="1" t="s">
        <v>7</v>
      </c>
      <c r="L6" s="1"/>
      <c r="O6" s="1" t="s">
        <v>15</v>
      </c>
      <c r="P6" s="3">
        <v>1000000000</v>
      </c>
    </row>
    <row r="7" spans="2:17" x14ac:dyDescent="0.25">
      <c r="B7" s="77"/>
      <c r="C7" s="80"/>
      <c r="E7" s="14" t="s">
        <v>2</v>
      </c>
      <c r="F7" s="12">
        <v>299792458</v>
      </c>
      <c r="G7" s="13" t="s">
        <v>5</v>
      </c>
      <c r="H7" s="1"/>
      <c r="K7" s="1"/>
      <c r="L7" s="1"/>
      <c r="O7" s="1" t="s">
        <v>17</v>
      </c>
      <c r="P7" s="3">
        <v>1000</v>
      </c>
    </row>
    <row r="8" spans="2:17" x14ac:dyDescent="0.25">
      <c r="B8" s="77"/>
      <c r="C8" s="80"/>
      <c r="E8" s="14" t="s">
        <v>3</v>
      </c>
      <c r="F8" s="12">
        <v>0.2036</v>
      </c>
      <c r="G8" s="13" t="s">
        <v>4</v>
      </c>
      <c r="H8" s="1"/>
      <c r="I8" s="26" t="s">
        <v>31</v>
      </c>
      <c r="J8" s="7">
        <f>+J$4*SQRT((J$5/F$8)^2+(J$6/F$9)^2)</f>
        <v>5.3174364125780781E-4</v>
      </c>
      <c r="K8" s="5" t="s">
        <v>10</v>
      </c>
      <c r="L8" s="29">
        <f>+J8/J$4</f>
        <v>5.0771593251727819E-4</v>
      </c>
      <c r="O8" s="1" t="s">
        <v>18</v>
      </c>
      <c r="P8" s="3">
        <f>+P6*P7/P4</f>
        <v>9.9999999999999998E+23</v>
      </c>
    </row>
    <row r="9" spans="2:17" x14ac:dyDescent="0.25">
      <c r="B9" s="77"/>
      <c r="C9" s="80"/>
      <c r="E9" s="14" t="s">
        <v>6</v>
      </c>
      <c r="F9" s="15">
        <v>194400000000000</v>
      </c>
      <c r="G9" s="13" t="s">
        <v>7</v>
      </c>
      <c r="H9" s="1"/>
      <c r="I9" s="26" t="s">
        <v>32</v>
      </c>
      <c r="J9" s="7">
        <f>+J$4*SQRT((J$5/F$8)^2)</f>
        <v>5.1440329218107E-4</v>
      </c>
      <c r="K9" s="5" t="s">
        <v>10</v>
      </c>
      <c r="L9" s="29">
        <f>+J9/J$4</f>
        <v>4.9115913555992138E-4</v>
      </c>
    </row>
    <row r="10" spans="2:17" x14ac:dyDescent="0.25">
      <c r="B10" s="77"/>
      <c r="C10" s="80"/>
      <c r="E10" s="14"/>
      <c r="F10" s="12"/>
      <c r="G10" s="13"/>
      <c r="H10" s="1"/>
      <c r="I10" s="26" t="s">
        <v>33</v>
      </c>
      <c r="J10" s="7">
        <f>+J$4*SQRT((J$6/F$9)^2)</f>
        <v>1.3468687022642214E-4</v>
      </c>
      <c r="K10" s="5" t="s">
        <v>10</v>
      </c>
      <c r="L10" s="29">
        <f>+J10/J$4</f>
        <v>1.286008230452675E-4</v>
      </c>
      <c r="O10" s="1" t="s">
        <v>19</v>
      </c>
      <c r="P10" s="20">
        <f>(+P11*0.000000001*F7/(0.00000154214)^2)*0.000000001</f>
        <v>25.21175595143168</v>
      </c>
      <c r="Q10" s="1" t="s">
        <v>15</v>
      </c>
    </row>
    <row r="11" spans="2:17" ht="30.75" thickBot="1" x14ac:dyDescent="0.3">
      <c r="B11" s="77"/>
      <c r="C11" s="81"/>
      <c r="E11" s="17" t="s">
        <v>9</v>
      </c>
      <c r="F11" s="18">
        <f>F8/F9*1000000000000000</f>
        <v>1.0473251028806585</v>
      </c>
      <c r="G11" s="19" t="s">
        <v>10</v>
      </c>
      <c r="H11" s="1"/>
      <c r="K11" s="1"/>
      <c r="L11" s="1"/>
      <c r="O11" s="1" t="s">
        <v>20</v>
      </c>
      <c r="P11" s="1">
        <v>0.2</v>
      </c>
      <c r="Q11" s="1" t="s">
        <v>21</v>
      </c>
    </row>
    <row r="12" spans="2:17" ht="15.75" thickBot="1" x14ac:dyDescent="0.3">
      <c r="B12" s="78"/>
      <c r="C12" s="23" t="s">
        <v>25</v>
      </c>
      <c r="E12" s="1"/>
      <c r="F12" s="1"/>
      <c r="G12" s="1"/>
      <c r="H12" s="1"/>
      <c r="K12" s="31"/>
      <c r="L12" s="1"/>
      <c r="O12" s="1"/>
      <c r="P12" s="1"/>
      <c r="Q12" s="1"/>
    </row>
    <row r="13" spans="2:17" x14ac:dyDescent="0.25">
      <c r="L13" s="24"/>
      <c r="M13" s="24"/>
      <c r="O13" s="5" t="s">
        <v>22</v>
      </c>
      <c r="P13" s="21">
        <f>+P10*1000000000/F9</f>
        <v>1.2969010263082139E-4</v>
      </c>
      <c r="Q13" s="7"/>
    </row>
    <row r="14" spans="2:17" x14ac:dyDescent="0.25">
      <c r="B14" s="5" t="s">
        <v>27</v>
      </c>
      <c r="C14" s="2">
        <f>200-6.4+15</f>
        <v>208.6</v>
      </c>
      <c r="D14" s="2" t="s">
        <v>29</v>
      </c>
      <c r="I14" s="2"/>
      <c r="J14" s="2"/>
      <c r="L14" s="24"/>
      <c r="M14" s="24"/>
      <c r="N14" s="24"/>
    </row>
    <row r="15" spans="2:17" x14ac:dyDescent="0.25">
      <c r="I15" s="2"/>
      <c r="J15" s="2"/>
    </row>
    <row r="16" spans="2:17" x14ac:dyDescent="0.25">
      <c r="I16" s="2"/>
      <c r="J16" s="2"/>
      <c r="O16" s="1"/>
      <c r="P16" s="1">
        <f>1.047*0.013/100/25</f>
        <v>5.4443999999999991E-6</v>
      </c>
    </row>
    <row r="17" spans="5:16" x14ac:dyDescent="0.25">
      <c r="I17" s="2"/>
      <c r="J17" s="2"/>
      <c r="O17" s="1"/>
      <c r="P17" s="1"/>
    </row>
    <row r="18" spans="5:16" x14ac:dyDescent="0.25">
      <c r="I18" s="2"/>
      <c r="J18" s="2"/>
    </row>
    <row r="19" spans="5:16" x14ac:dyDescent="0.25">
      <c r="I19" s="2"/>
      <c r="J19" s="2"/>
    </row>
    <row r="20" spans="5:16" x14ac:dyDescent="0.25">
      <c r="I20" s="2"/>
      <c r="J20" s="2"/>
    </row>
    <row r="21" spans="5:16" x14ac:dyDescent="0.25">
      <c r="I21" s="39"/>
      <c r="J21" s="39"/>
      <c r="K21" s="28"/>
    </row>
    <row r="22" spans="5:16" x14ac:dyDescent="0.25">
      <c r="I22" s="39"/>
      <c r="J22" s="39"/>
      <c r="K22" s="28"/>
    </row>
    <row r="24" spans="5:16" x14ac:dyDescent="0.25">
      <c r="G24" s="25"/>
      <c r="I24" s="39"/>
      <c r="J24" s="39"/>
    </row>
    <row r="26" spans="5:16" x14ac:dyDescent="0.25">
      <c r="E26" s="39"/>
      <c r="F26" s="39"/>
      <c r="G26" s="39"/>
      <c r="I26" s="39"/>
      <c r="J26" s="39"/>
    </row>
    <row r="27" spans="5:16" x14ac:dyDescent="0.25">
      <c r="E27" s="39"/>
      <c r="F27" s="39"/>
      <c r="G27" s="39"/>
      <c r="I27" s="39"/>
      <c r="J27" s="39"/>
    </row>
    <row r="28" spans="5:16" x14ac:dyDescent="0.25">
      <c r="E28" s="39"/>
      <c r="F28" s="39"/>
      <c r="G28" s="4"/>
      <c r="H28" s="39"/>
      <c r="I28" s="39"/>
      <c r="J28" s="39"/>
    </row>
    <row r="29" spans="5:16" x14ac:dyDescent="0.25">
      <c r="E29" s="39"/>
      <c r="I29" s="39"/>
      <c r="J29" s="39"/>
    </row>
    <row r="30" spans="5:16" x14ac:dyDescent="0.25">
      <c r="E30" s="39"/>
      <c r="I30" s="39"/>
      <c r="J30" s="39"/>
    </row>
    <row r="31" spans="5:16" x14ac:dyDescent="0.25">
      <c r="E31" s="39"/>
      <c r="I31" s="39"/>
      <c r="J31" s="39"/>
    </row>
    <row r="32" spans="5:16" x14ac:dyDescent="0.25">
      <c r="E32" s="39"/>
      <c r="I32" s="39"/>
      <c r="J32" s="39"/>
    </row>
    <row r="33" spans="5:10" x14ac:dyDescent="0.25">
      <c r="E33" s="39"/>
      <c r="I33" s="39"/>
      <c r="J33" s="39"/>
    </row>
    <row r="34" spans="5:10" x14ac:dyDescent="0.25">
      <c r="E34" s="5"/>
      <c r="I34" s="39"/>
      <c r="J34" s="39"/>
    </row>
    <row r="41" spans="5:10" x14ac:dyDescent="0.25">
      <c r="J41" s="6"/>
    </row>
    <row r="45" spans="5:10" x14ac:dyDescent="0.25">
      <c r="F45" s="1"/>
      <c r="G45" s="1"/>
    </row>
  </sheetData>
  <mergeCells count="5">
    <mergeCell ref="E2:G2"/>
    <mergeCell ref="B4:B12"/>
    <mergeCell ref="C4:C11"/>
    <mergeCell ref="B1:C2"/>
    <mergeCell ref="I2:L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Smile</vt:lpstr>
      <vt:lpstr>Pedro2</vt:lpstr>
      <vt:lpstr>Pedro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Baldoni</dc:creator>
  <cp:lastModifiedBy>Ignacio Baldoni</cp:lastModifiedBy>
  <dcterms:created xsi:type="dcterms:W3CDTF">2023-01-23T09:32:17Z</dcterms:created>
  <dcterms:modified xsi:type="dcterms:W3CDTF">2023-02-02T08:39:53Z</dcterms:modified>
</cp:coreProperties>
</file>