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gna/Dropbox/Victaulic/FBE_vs_Bare/GitHub/"/>
    </mc:Choice>
  </mc:AlternateContent>
  <xr:revisionPtr revIDLastSave="0" documentId="13_ncr:1_{0CA5A049-9DF2-C149-AB00-E863279B418D}" xr6:coauthVersionLast="47" xr6:coauthVersionMax="47" xr10:uidLastSave="{00000000-0000-0000-0000-000000000000}"/>
  <bookViews>
    <workbookView xWindow="0" yWindow="500" windowWidth="51200" windowHeight="28300" activeTab="7" xr2:uid="{4A80D9CF-9772-3D47-BAD7-B0FB3ABE71DF}"/>
  </bookViews>
  <sheets>
    <sheet name="Parameters" sheetId="9" r:id="rId1"/>
    <sheet name="Steel" sheetId="10" r:id="rId2"/>
    <sheet name="SC" sheetId="12" r:id="rId3"/>
    <sheet name="FJC" sheetId="14" r:id="rId4"/>
    <sheet name="Inhibitors" sheetId="15" r:id="rId5"/>
    <sheet name="Inspections" sheetId="17" r:id="rId6"/>
    <sheet name="Electricity" sheetId="8" r:id="rId7"/>
    <sheet name="Charts" sheetId="3" r:id="rId8"/>
    <sheet name="SRAII AMSA" sheetId="2" r:id="rId9"/>
    <sheet name="Chilean_Projects" sheetId="18" r:id="rId10"/>
  </sheets>
  <externalReferences>
    <externalReference r:id="rId11"/>
  </externalReferences>
  <definedNames>
    <definedName name="_bare_CAPEX">Charts!$D$12</definedName>
    <definedName name="_bare_corrosion_steel">Charts!$D$6</definedName>
    <definedName name="_bare_friction">Charts!$D$10</definedName>
    <definedName name="_bare_inhibitores">Charts!$D$9</definedName>
    <definedName name="_bare_inspections">Charts!$D$11</definedName>
    <definedName name="_bare_OPEX">Charts!$D$13</definedName>
    <definedName name="_coated_CAPEX">Charts!$E$12</definedName>
    <definedName name="_coated_FJC">Charts!$E$7</definedName>
    <definedName name="_coated_Friction">Charts!$E$10</definedName>
    <definedName name="_coated_inspections">Charts!$E$11</definedName>
    <definedName name="_coated_OPEX">Charts!$E$13</definedName>
    <definedName name="_coated_SC">Charts!$E$8</definedName>
    <definedName name="_diff_inhibitors">Charts!$F$9</definedName>
    <definedName name="_xlnm._FilterDatabase" localSheetId="7" hidden="1">Charts!$C$5:$F$11</definedName>
    <definedName name="_xlnm._FilterDatabase" localSheetId="9" hidden="1">Chilean_Projects!$B$2:$O$22</definedName>
    <definedName name="_xlnm._FilterDatabase" localSheetId="0" hidden="1">Parameters!$A$2:$F$26</definedName>
    <definedName name="aguasin_price_200_L_s">#REF!</definedName>
    <definedName name="annual_discount_rate">Parameters!$C$30</definedName>
    <definedName name="annual_discount_rate_percent">Parameters!$C$29</definedName>
    <definedName name="annual_hours_operation_h_yr">Parameters!$C$26</definedName>
    <definedName name="annual_operation_h">#REF!</definedName>
    <definedName name="Bare_annual_Inspection">Inspections!$B$5</definedName>
    <definedName name="Bare_annual_Inspection_usd">Inspections!$C$5</definedName>
    <definedName name="bare_capex">Charts!#REF!</definedName>
    <definedName name="bare_cost_electricity_yr_1">Electricity!$E$12</definedName>
    <definedName name="bare_dosing_plant_CAPEX">#REF!</definedName>
    <definedName name="bare_electricity_pv">Charts!#REF!</definedName>
    <definedName name="bare_electricity_yr_1">Electricity!$J$20</definedName>
    <definedName name="bare_elevation_energy_PV">Electricity!$K$45</definedName>
    <definedName name="bare_f_yr_1">Electricity!$F$20</definedName>
    <definedName name="bare_friction_energy_PV">Electricity!$J$45</definedName>
    <definedName name="bare_hf_yr1_m">Electricity!$G$20</definedName>
    <definedName name="bare_id_m_yr_1">#REF!</definedName>
    <definedName name="bare_inside_diameter_yr_1">Parameters!$C$13</definedName>
    <definedName name="bare_inspect_opex">#REF!</definedName>
    <definedName name="bare_inspect_per_km_per_yr">#REF!</definedName>
    <definedName name="bare_inspection_per_km">Inspections!$C$3</definedName>
    <definedName name="bare_inspections_PV">Inspections!$C$7</definedName>
    <definedName name="bare_opex">Charts!#REF!</definedName>
    <definedName name="bare_opex_NPV">#REF!</definedName>
    <definedName name="bare_re_yr_1">Electricity!$Q$20</definedName>
    <definedName name="bare_roughness_yr_1">Electricity!$P$20</definedName>
    <definedName name="bare_steel_capex">#REF!</definedName>
    <definedName name="bare_steel_percentage">Steel!$D$39</definedName>
    <definedName name="bare_steel_weight_t">Steel!$C$17</definedName>
    <definedName name="bare_total_usd">Charts!$D$14</definedName>
    <definedName name="bare_vel_yr_1_m_s">Electricity!$E$20</definedName>
    <definedName name="bare_wall__yr_1_mm">Parameters!$C$11</definedName>
    <definedName name="bare_wall_yr_1_mm">#REF!</definedName>
    <definedName name="biocide_cost_yr">Inhibitors!$F$12</definedName>
    <definedName name="biocide_dosage">Inhibitors!$C$12</definedName>
    <definedName name="biocide_kg_yr">Inhibitors!$D$12</definedName>
    <definedName name="biocide_price">Inhibitors!$E$12</definedName>
    <definedName name="capex_steel_bare">Steel!$C$19</definedName>
    <definedName name="capex_steel_fbe">Steel!$C$29</definedName>
    <definedName name="case_selection">Electricity!#REF!</definedName>
    <definedName name="case_selection_2">Electricity!#REF!</definedName>
    <definedName name="chem_inj_1">#REF!</definedName>
    <definedName name="chem_inj_2">#REF!</definedName>
    <definedName name="chem_inj_3">#REF!</definedName>
    <definedName name="chem_inj_4">#REF!</definedName>
    <definedName name="chem_inj_5">#REF!</definedName>
    <definedName name="chem_inj_6">#REF!</definedName>
    <definedName name="chem_inj_total">#REF!</definedName>
    <definedName name="chem_opex_pv">#REF!</definedName>
    <definedName name="chile_inland">Steel!$C$10</definedName>
    <definedName name="china_inland">Steel!$C$8</definedName>
    <definedName name="coated_capex">Charts!#REF!</definedName>
    <definedName name="coated_opex">Charts!#REF!</definedName>
    <definedName name="corrosion_opex_PV">#REF!</definedName>
    <definedName name="corrosion_opex_yr">#REF!</definedName>
    <definedName name="corrosion_rate">#REF!</definedName>
    <definedName name="corrosion_rate_mm_yr">#REF!</definedName>
    <definedName name="cost_of_steel_MT">#REF!</definedName>
    <definedName name="cost_per_steel_weight">Steel!$C$13</definedName>
    <definedName name="cost_per_steel_weight_t">Steel!$C$14</definedName>
    <definedName name="design_flow_rate">Parameters!$C$16</definedName>
    <definedName name="design_flow_rate_l_s">Parameters!$C$15</definedName>
    <definedName name="diameter_mm">#REF!</definedName>
    <definedName name="diff_friction_bare">Charts!$D$18</definedName>
    <definedName name="diff_inhibitors_bare">Charts!$D$17</definedName>
    <definedName name="diff_JFC">Charts!$E$20</definedName>
    <definedName name="diff_percent_usd">Charts!#REF!</definedName>
    <definedName name="diff_shop_coating">Charts!$E$22</definedName>
    <definedName name="diff_steel_bare">Charts!$D$19</definedName>
    <definedName name="diff_total_diff">Charts!$F$24</definedName>
    <definedName name="diff_total_fbe_usd">Charts!$E$24</definedName>
    <definedName name="diff_total_usd">Charts!$F$14</definedName>
    <definedName name="discount_rate">#REF!</definedName>
    <definedName name="Dosage_plant_investment">#REF!</definedName>
    <definedName name="Dosage_plant_upfront_investment_m3_day">#REF!</definedName>
    <definedName name="Dosing_investment">#REF!</definedName>
    <definedName name="Dosing_plant_capex">#REF!</definedName>
    <definedName name="Dosing_plant_service_yr">Inhibitors!$F$13</definedName>
    <definedName name="dynamic_viscosity_of_water">Parameters!$C$19</definedName>
    <definedName name="dynamic_viscosity_of_water_cP">#REF!</definedName>
    <definedName name="electrical_energy_usd_mwh">Parameters!$C$33</definedName>
    <definedName name="Electricity_diff_MM">Charts!#REF!</definedName>
    <definedName name="Elevation_change">Parameters!$C$5</definedName>
    <definedName name="Elevation_change_m">#REF!</definedName>
    <definedName name="Encalada_cost_FBE_per_m_32_in">#REF!</definedName>
    <definedName name="Energy_cost">#REF!</definedName>
    <definedName name="Energy_cost_w_h">#REF!</definedName>
    <definedName name="Energy_table_text_bare">Electricity!$A$15</definedName>
    <definedName name="Energy_table_text_fbe">Electricity!$A$16</definedName>
    <definedName name="extra_fjc">Charts!$F$7</definedName>
    <definedName name="extra_friction_energy">Charts!$F$10</definedName>
    <definedName name="extra_inspections">Charts!$F$11</definedName>
    <definedName name="extra_inspections_bare">Charts!$D$21</definedName>
    <definedName name="extra_shop_fbe">Charts!$F$8</definedName>
    <definedName name="extra_steel">Charts!#REF!</definedName>
    <definedName name="extra_steel_percentage">Steel!$D$41</definedName>
    <definedName name="extra_wall_mm">Parameters!$C$12</definedName>
    <definedName name="F_Design_Factor">[1]MAOP!$C$4</definedName>
    <definedName name="FBE_annual_Inspection">Inspections!$C$6</definedName>
    <definedName name="FBE_coating_capex">#REF!</definedName>
    <definedName name="FBE_cost_per_m2">Parameters!$C$36</definedName>
    <definedName name="FBE_cost_per_surface">SC!$B$2</definedName>
    <definedName name="FBE_electricity_opex_npv">#REF!</definedName>
    <definedName name="fbe_electricity_pv">Charts!#REF!</definedName>
    <definedName name="fbe_elevation_energy_PV">Electricity!$K$73</definedName>
    <definedName name="fbe_friction_energy_PV">Electricity!$J$73</definedName>
    <definedName name="FBE_id_yr1_m">#REF!</definedName>
    <definedName name="FBE_inner_area_m2">#REF!</definedName>
    <definedName name="fbe_inside_diameter_yr_1">Parameters!$C$14</definedName>
    <definedName name="fbe_inside_surface">SC!$B$5</definedName>
    <definedName name="fbe_inspect_opex">#REF!</definedName>
    <definedName name="fbe_inspect_per_km_per_yr">#REF!</definedName>
    <definedName name="fbe_inspection_per_km">Inspections!$C$4</definedName>
    <definedName name="fbe_inspections_PV">Inspections!$C$8</definedName>
    <definedName name="FBE_opex_NPV">#REF!</definedName>
    <definedName name="FBE_opex_NPV_1">#REF!</definedName>
    <definedName name="FBE_plus_bare">SC!$B$8</definedName>
    <definedName name="FBE_re_yr_1">#REF!</definedName>
    <definedName name="FBE_steel_capex">#REF!</definedName>
    <definedName name="FBE_steel_percentage">Steel!$D$40</definedName>
    <definedName name="FBE_Steel_Perecentage">SC!$B$9</definedName>
    <definedName name="fbe_steel_weight_t">Steel!$C$27</definedName>
    <definedName name="fbe_total_usd">Charts!$E$14</definedName>
    <definedName name="fbe_wall__yr_1_mm">Parameters!$C$10</definedName>
    <definedName name="FBE_wall_yr_1">#REF!</definedName>
    <definedName name="field_coating_total">FJC!$C$14</definedName>
    <definedName name="field_coating_usd_joint">Parameters!$C$32</definedName>
    <definedName name="field_coating_usd_per_joint">FJC!$C$9</definedName>
    <definedName name="field_Joint_Coating">FJC!$C$22</definedName>
    <definedName name="FJc_surface">FJC!$C$16</definedName>
    <definedName name="FJE_vs_SC_Times_per_surface">FJC!$C$19</definedName>
    <definedName name="Flow_m3_h">#REF!</definedName>
    <definedName name="Flow_rate_m3_s">#REF!</definedName>
    <definedName name="fluid_density">Parameters!$C$18</definedName>
    <definedName name="freight_cost">Steel!$C$12</definedName>
    <definedName name="freight_cost_t">Steel!$C$11</definedName>
    <definedName name="grav_accel">#REF!</definedName>
    <definedName name="gravitational_acceleration">Parameters!$C$34</definedName>
    <definedName name="hrc_price">#REF!</definedName>
    <definedName name="hrc_price_usd_t">Parameters!$C$31</definedName>
    <definedName name="hrc_to_X70_multiplier">Parameters!$C$35</definedName>
    <definedName name="id_FBE_yr_25">#REF!</definedName>
    <definedName name="inhibitor_cost_yr">Inhibitors!$F$11</definedName>
    <definedName name="inhibitor_dosage">Inhibitors!$C$11</definedName>
    <definedName name="inhibitor_kg_yr">Inhibitors!$D$11</definedName>
    <definedName name="inhibitor_price">Inhibitors!$E$11</definedName>
    <definedName name="inhibitors_injection">Inhibitors!$F$14</definedName>
    <definedName name="inhibitors_per_L_s">#REF!</definedName>
    <definedName name="inspections_bare_PV">#REF!</definedName>
    <definedName name="inspections_FBE_PV">#REF!</definedName>
    <definedName name="interior_fbe_capex">SC!$B$6</definedName>
    <definedName name="interior_fbe_capex_vs_steel_cost">SC!$C$6</definedName>
    <definedName name="interior_fbe_thickness_mm">Parameters!$C$24</definedName>
    <definedName name="joint_number">FJC!$C$13</definedName>
    <definedName name="k_yr_1">Electricity!#REF!</definedName>
    <definedName name="k_yr_1_2">Electricity!#REF!</definedName>
    <definedName name="k_yr_25">Electricity!#REF!</definedName>
    <definedName name="k_yr_25_2">Electricity!#REF!</definedName>
    <definedName name="m3_per_year">#REF!</definedName>
    <definedName name="ocean_freight">Steel!$C$9</definedName>
    <definedName name="opex_chem_yr">#REF!</definedName>
    <definedName name="outer_diameter_inch">#REF!</definedName>
    <definedName name="outside_diameter">Parameters!$C$8</definedName>
    <definedName name="outside_diameter_inches">Parameters!$C$7</definedName>
    <definedName name="p_fjc_coated">FJC!$D$22</definedName>
    <definedName name="p_sc_coated">FJC!$D$23</definedName>
    <definedName name="p_steel_coated">FJC!$D$21</definedName>
    <definedName name="pipe_id_bare_yr_1">#REF!</definedName>
    <definedName name="pipe_id_fbe_yr_1">#REF!</definedName>
    <definedName name="pipe_od_in">#REF!</definedName>
    <definedName name="pipe_od_m">#REF!</definedName>
    <definedName name="pipe_radius_mm">#REF!</definedName>
    <definedName name="pipe_segment_length_m">#REF!</definedName>
    <definedName name="pipe_total_joints">#REF!</definedName>
    <definedName name="pipeline_length">Parameters!$C$3</definedName>
    <definedName name="pipeline_length_km">Parameters!$C$4</definedName>
    <definedName name="project_life">Parameters!$C$25</definedName>
    <definedName name="Projected_kWh">Electricity!$E$10</definedName>
    <definedName name="Projected_MWh">Electricity!$E$9</definedName>
    <definedName name="Projected_Wh">Electricity!$E$11</definedName>
    <definedName name="pump_efficiency">Parameters!$C$28</definedName>
    <definedName name="pump_efficiency_percentage">Parameters!$C$27</definedName>
    <definedName name="pv_inhibitors">Inhibitors!$F$15</definedName>
    <definedName name="robotic_internal_coating_service">#REF!</definedName>
    <definedName name="robotic_internal_coating_service_CAPEX">#REF!</definedName>
    <definedName name="roughness_bare_pipe">#REF!</definedName>
    <definedName name="roughness_bare_pipe_yr_1">#REF!</definedName>
    <definedName name="roughness_bare_pipe_yr_25">#REF!</definedName>
    <definedName name="roughness_bare_yr_1_mm">Parameters!$C$20</definedName>
    <definedName name="roughness_bare_yr_25_mm">Parameters!$C$21</definedName>
    <definedName name="roughness_fbe_pipe">#REF!</definedName>
    <definedName name="roughness_FBE_yr_1">#REF!</definedName>
    <definedName name="roughness_fbe_yr_1_mm">Parameters!$C$22</definedName>
    <definedName name="roughness_FBE_yr_25">#REF!</definedName>
    <definedName name="roughness_fbe_yr_25_mm">Parameters!$C$23</definedName>
    <definedName name="roughness_FBE_yr1_m">#REF!</definedName>
    <definedName name="Safety_factor">#REF!</definedName>
    <definedName name="Sc_surface">FJC!$C$17</definedName>
    <definedName name="segment_length">Parameters!$C$6</definedName>
    <definedName name="Service_life_yr">#REF!</definedName>
    <definedName name="Shop_fbe_coating">FJC!$C$23</definedName>
    <definedName name="SMYS">[1]MAOP!$C$5</definedName>
    <definedName name="Steel_a1">Steel!$C$33</definedName>
    <definedName name="Steel_a2">Steel!$C$34</definedName>
    <definedName name="Steel_b1">Steel!$D$33</definedName>
    <definedName name="Steel_b2">Steel!$D$34</definedName>
    <definedName name="Steel_c1">Steel!$C$36</definedName>
    <definedName name="Steel_c2">Steel!$D$35</definedName>
    <definedName name="Steel_cost_difference">Steel!$E$35</definedName>
    <definedName name="Steel_density_kg_m3">#REF!</definedName>
    <definedName name="Steel_diff_percentage">Steel!$E$34</definedName>
    <definedName name="Steel_Perecentage">SC!$B$10</definedName>
    <definedName name="Steel_pipe_transportation">#REF!</definedName>
    <definedName name="Steel_price_USD_MT">#REF!</definedName>
    <definedName name="Supply_contingency">#REF!</definedName>
    <definedName name="Times_coating_vs_FJC">FJC!$C$18</definedName>
    <definedName name="Total_capex">Charts!$F$12</definedName>
    <definedName name="Total_Field_Shop_Steel">FJC!$C$24</definedName>
    <definedName name="Total_opex">Charts!$F$13</definedName>
    <definedName name="Total_Steel_cost">FJC!$C$21</definedName>
    <definedName name="Total_Steel_Price">#REF!</definedName>
    <definedName name="Utilization_factor">#REF!</definedName>
    <definedName name="v_kinematic_viscosity">#REF!</definedName>
    <definedName name="viscosity_Pa_s">#REF!</definedName>
    <definedName name="volume_1_m_bare">Steel!$C$16</definedName>
    <definedName name="volume_1_m_fbe">Steel!$C$26</definedName>
    <definedName name="volume_yr">Inhibitors!$C$6</definedName>
    <definedName name="wall_corrosion_rate_mm_yr">Parameters!$C$9</definedName>
    <definedName name="wall_thickness_corrosion_mm">#REF!</definedName>
    <definedName name="wall_thickness_mm">#REF!</definedName>
    <definedName name="wall_tol">[1]MAOP!$C$3</definedName>
    <definedName name="wall_yr_1">Electricity!#REF!</definedName>
    <definedName name="wall_yr_1_1">Electricity!#REF!</definedName>
    <definedName name="wall_yr_25">Electricity!#REF!</definedName>
    <definedName name="wall_yr_25_2">Electricity!#REF!</definedName>
    <definedName name="water_density">#REF!</definedName>
    <definedName name="x70_steel_density">Parameters!$C$17</definedName>
  </definedNames>
  <calcPr calcId="191029" iterate="1" iterateCount="600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3" l="1"/>
  <c r="D19" i="3"/>
  <c r="C12" i="9"/>
  <c r="J58" i="10"/>
  <c r="J54" i="10"/>
  <c r="J50" i="10"/>
  <c r="K45" i="10"/>
  <c r="L45" i="10" s="1"/>
  <c r="K57" i="10"/>
  <c r="L57" i="10" s="1"/>
  <c r="M57" i="10" s="1"/>
  <c r="K56" i="10"/>
  <c r="L56" i="10" s="1"/>
  <c r="M56" i="10" s="1"/>
  <c r="K55" i="10"/>
  <c r="L55" i="10" s="1"/>
  <c r="M55" i="10" s="1"/>
  <c r="K53" i="10"/>
  <c r="L53" i="10" s="1"/>
  <c r="M53" i="10" s="1"/>
  <c r="K52" i="10"/>
  <c r="L52" i="10" s="1"/>
  <c r="M52" i="10" s="1"/>
  <c r="K51" i="10"/>
  <c r="L51" i="10" s="1"/>
  <c r="M51" i="10" s="1"/>
  <c r="K49" i="10"/>
  <c r="L49" i="10" s="1"/>
  <c r="M49" i="10" s="1"/>
  <c r="K48" i="10"/>
  <c r="L48" i="10" s="1"/>
  <c r="M48" i="10" s="1"/>
  <c r="K47" i="10"/>
  <c r="L47" i="10" s="1"/>
  <c r="M47" i="10" s="1"/>
  <c r="C7" i="10"/>
  <c r="J39" i="3"/>
  <c r="J38" i="3"/>
  <c r="J37" i="3"/>
  <c r="J36" i="3"/>
  <c r="J35" i="3"/>
  <c r="J34" i="3"/>
  <c r="J33" i="3"/>
  <c r="J32" i="3"/>
  <c r="J31" i="3"/>
  <c r="J30" i="3"/>
  <c r="J29" i="3"/>
  <c r="J28" i="3"/>
  <c r="N54" i="10" l="1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19" i="9"/>
  <c r="A18" i="9"/>
  <c r="A17" i="9"/>
  <c r="A16" i="9"/>
  <c r="A15" i="9"/>
  <c r="A14" i="9"/>
  <c r="A13" i="9"/>
  <c r="A11" i="9"/>
  <c r="A10" i="9"/>
  <c r="A9" i="9"/>
  <c r="A8" i="9"/>
  <c r="A7" i="9"/>
  <c r="A6" i="9"/>
  <c r="A5" i="9"/>
  <c r="A4" i="9"/>
  <c r="A3" i="9"/>
  <c r="E9" i="8"/>
  <c r="P72" i="8"/>
  <c r="P48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C30" i="9"/>
  <c r="AA33" i="8"/>
  <c r="AA32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N44" i="8"/>
  <c r="R15" i="3"/>
  <c r="R14" i="3"/>
  <c r="R13" i="3"/>
  <c r="R12" i="3"/>
  <c r="Q18" i="3"/>
  <c r="Q17" i="3"/>
  <c r="Q16" i="3"/>
  <c r="Q15" i="3"/>
  <c r="Q14" i="3"/>
  <c r="C17" i="14"/>
  <c r="P44" i="8"/>
  <c r="P20" i="8"/>
  <c r="C8" i="15" l="1"/>
  <c r="C4" i="9"/>
  <c r="C11" i="10"/>
  <c r="E12" i="15"/>
  <c r="C11" i="9"/>
  <c r="N20" i="8" s="1"/>
  <c r="C33" i="10" l="1"/>
  <c r="C4" i="10"/>
  <c r="E3" i="8"/>
  <c r="C16" i="9"/>
  <c r="E5" i="8"/>
  <c r="E6" i="8"/>
  <c r="E8" i="8"/>
  <c r="E10" i="8"/>
  <c r="C6" i="17"/>
  <c r="C8" i="17" s="1"/>
  <c r="C5" i="17"/>
  <c r="C7" i="17" s="1"/>
  <c r="E11" i="8" l="1"/>
  <c r="AA36" i="8"/>
  <c r="T58" i="8"/>
  <c r="I58" i="8" s="1"/>
  <c r="K58" i="8" s="1"/>
  <c r="AA43" i="8"/>
  <c r="C9" i="14"/>
  <c r="C3" i="14" s="1"/>
  <c r="T40" i="8"/>
  <c r="I40" i="8" s="1"/>
  <c r="K40" i="8" s="1"/>
  <c r="T41" i="8"/>
  <c r="I41" i="8" s="1"/>
  <c r="K41" i="8" s="1"/>
  <c r="T42" i="8"/>
  <c r="I42" i="8" s="1"/>
  <c r="K42" i="8" s="1"/>
  <c r="T43" i="8"/>
  <c r="I43" i="8" s="1"/>
  <c r="K43" i="8" s="1"/>
  <c r="T44" i="8"/>
  <c r="I44" i="8" s="1"/>
  <c r="K44" i="8" s="1"/>
  <c r="T48" i="8"/>
  <c r="I48" i="8" s="1"/>
  <c r="K48" i="8" s="1"/>
  <c r="T63" i="8"/>
  <c r="I63" i="8" s="1"/>
  <c r="K63" i="8" s="1"/>
  <c r="T49" i="8"/>
  <c r="I49" i="8" s="1"/>
  <c r="K49" i="8" s="1"/>
  <c r="T50" i="8"/>
  <c r="I50" i="8" s="1"/>
  <c r="K50" i="8" s="1"/>
  <c r="T59" i="8"/>
  <c r="I59" i="8" s="1"/>
  <c r="K59" i="8" s="1"/>
  <c r="T60" i="8"/>
  <c r="I60" i="8" s="1"/>
  <c r="K60" i="8" s="1"/>
  <c r="T62" i="8"/>
  <c r="I62" i="8" s="1"/>
  <c r="K62" i="8" s="1"/>
  <c r="T28" i="8"/>
  <c r="I28" i="8" s="1"/>
  <c r="K28" i="8" s="1"/>
  <c r="T29" i="8"/>
  <c r="I29" i="8" s="1"/>
  <c r="K29" i="8" s="1"/>
  <c r="T64" i="8"/>
  <c r="I64" i="8" s="1"/>
  <c r="K64" i="8" s="1"/>
  <c r="T30" i="8"/>
  <c r="I30" i="8" s="1"/>
  <c r="K30" i="8" s="1"/>
  <c r="T65" i="8"/>
  <c r="I65" i="8" s="1"/>
  <c r="K65" i="8" s="1"/>
  <c r="T24" i="8"/>
  <c r="I24" i="8" s="1"/>
  <c r="K24" i="8" s="1"/>
  <c r="T25" i="8"/>
  <c r="I25" i="8" s="1"/>
  <c r="K25" i="8" s="1"/>
  <c r="T26" i="8"/>
  <c r="I26" i="8" s="1"/>
  <c r="K26" i="8" s="1"/>
  <c r="T61" i="8"/>
  <c r="I61" i="8" s="1"/>
  <c r="K61" i="8" s="1"/>
  <c r="T27" i="8"/>
  <c r="I27" i="8" s="1"/>
  <c r="K27" i="8" s="1"/>
  <c r="T31" i="8"/>
  <c r="I31" i="8" s="1"/>
  <c r="K31" i="8" s="1"/>
  <c r="T66" i="8"/>
  <c r="I66" i="8" s="1"/>
  <c r="K66" i="8" s="1"/>
  <c r="T71" i="8"/>
  <c r="I71" i="8" s="1"/>
  <c r="K71" i="8" s="1"/>
  <c r="T32" i="8"/>
  <c r="I32" i="8" s="1"/>
  <c r="K32" i="8" s="1"/>
  <c r="T51" i="8"/>
  <c r="I51" i="8" s="1"/>
  <c r="K51" i="8" s="1"/>
  <c r="T67" i="8"/>
  <c r="I67" i="8" s="1"/>
  <c r="K67" i="8" s="1"/>
  <c r="T34" i="8"/>
  <c r="I34" i="8" s="1"/>
  <c r="K34" i="8" s="1"/>
  <c r="T35" i="8"/>
  <c r="I35" i="8" s="1"/>
  <c r="K35" i="8" s="1"/>
  <c r="T72" i="8"/>
  <c r="I72" i="8" s="1"/>
  <c r="K72" i="8" s="1"/>
  <c r="T33" i="8"/>
  <c r="I33" i="8" s="1"/>
  <c r="K33" i="8" s="1"/>
  <c r="T52" i="8"/>
  <c r="I52" i="8" s="1"/>
  <c r="K52" i="8" s="1"/>
  <c r="T68" i="8"/>
  <c r="I68" i="8" s="1"/>
  <c r="K68" i="8" s="1"/>
  <c r="T53" i="8"/>
  <c r="I53" i="8" s="1"/>
  <c r="K53" i="8" s="1"/>
  <c r="T20" i="8"/>
  <c r="I20" i="8" s="1"/>
  <c r="K20" i="8" s="1"/>
  <c r="T57" i="8"/>
  <c r="I57" i="8" s="1"/>
  <c r="K57" i="8" s="1"/>
  <c r="E4" i="8"/>
  <c r="T69" i="8"/>
  <c r="I69" i="8" s="1"/>
  <c r="K69" i="8" s="1"/>
  <c r="T54" i="8"/>
  <c r="I54" i="8" s="1"/>
  <c r="K54" i="8" s="1"/>
  <c r="T70" i="8"/>
  <c r="I70" i="8" s="1"/>
  <c r="K70" i="8" s="1"/>
  <c r="T21" i="8"/>
  <c r="I21" i="8" s="1"/>
  <c r="K21" i="8" s="1"/>
  <c r="T36" i="8"/>
  <c r="I36" i="8" s="1"/>
  <c r="K36" i="8" s="1"/>
  <c r="T55" i="8"/>
  <c r="I55" i="8" s="1"/>
  <c r="K55" i="8" s="1"/>
  <c r="T22" i="8"/>
  <c r="I22" i="8" s="1"/>
  <c r="K22" i="8" s="1"/>
  <c r="T37" i="8"/>
  <c r="I37" i="8" s="1"/>
  <c r="K37" i="8" s="1"/>
  <c r="T56" i="8"/>
  <c r="I56" i="8" s="1"/>
  <c r="K56" i="8" s="1"/>
  <c r="Y22" i="8"/>
  <c r="T38" i="8"/>
  <c r="I38" i="8" s="1"/>
  <c r="K38" i="8" s="1"/>
  <c r="T23" i="8"/>
  <c r="I23" i="8" s="1"/>
  <c r="K23" i="8" s="1"/>
  <c r="T39" i="8"/>
  <c r="I39" i="8" s="1"/>
  <c r="K39" i="8" s="1"/>
  <c r="B4" i="12"/>
  <c r="C5" i="15"/>
  <c r="C7" i="15"/>
  <c r="C3" i="15"/>
  <c r="C4" i="15" s="1"/>
  <c r="G4" i="14"/>
  <c r="C12" i="14"/>
  <c r="C11" i="14"/>
  <c r="C13" i="14"/>
  <c r="D9" i="14"/>
  <c r="C24" i="10"/>
  <c r="D33" i="10" s="1"/>
  <c r="C23" i="10"/>
  <c r="C12" i="10"/>
  <c r="C6" i="10"/>
  <c r="C3" i="10"/>
  <c r="C8" i="9"/>
  <c r="A20" i="9"/>
  <c r="B44" i="8"/>
  <c r="AA19" i="8"/>
  <c r="H20" i="10" l="1"/>
  <c r="H21" i="10" s="1"/>
  <c r="C13" i="10"/>
  <c r="AA34" i="8"/>
  <c r="M69" i="8"/>
  <c r="M59" i="8"/>
  <c r="M49" i="8"/>
  <c r="M37" i="8"/>
  <c r="M27" i="8"/>
  <c r="M56" i="8"/>
  <c r="M44" i="8"/>
  <c r="M65" i="8"/>
  <c r="M43" i="8"/>
  <c r="M23" i="8"/>
  <c r="M63" i="8"/>
  <c r="M41" i="8"/>
  <c r="M21" i="8"/>
  <c r="M72" i="8"/>
  <c r="O72" i="8" s="1"/>
  <c r="C72" i="8" s="1"/>
  <c r="M52" i="8"/>
  <c r="M40" i="8"/>
  <c r="M68" i="8"/>
  <c r="M58" i="8"/>
  <c r="M48" i="8"/>
  <c r="O48" i="8" s="1"/>
  <c r="C48" i="8" s="1"/>
  <c r="M36" i="8"/>
  <c r="M26" i="8"/>
  <c r="M25" i="8"/>
  <c r="M66" i="8"/>
  <c r="M34" i="8"/>
  <c r="M24" i="8"/>
  <c r="M55" i="8"/>
  <c r="M33" i="8"/>
  <c r="M54" i="8"/>
  <c r="M42" i="8"/>
  <c r="M22" i="8"/>
  <c r="M53" i="8"/>
  <c r="M31" i="8"/>
  <c r="M62" i="8"/>
  <c r="M30" i="8"/>
  <c r="M67" i="8"/>
  <c r="M57" i="8"/>
  <c r="M35" i="8"/>
  <c r="M71" i="8"/>
  <c r="M61" i="8"/>
  <c r="M51" i="8"/>
  <c r="M39" i="8"/>
  <c r="M29" i="8"/>
  <c r="M70" i="8"/>
  <c r="M60" i="8"/>
  <c r="M50" i="8"/>
  <c r="M38" i="8"/>
  <c r="M28" i="8"/>
  <c r="M64" i="8"/>
  <c r="M32" i="8"/>
  <c r="M20" i="8"/>
  <c r="AA24" i="8" s="1"/>
  <c r="K73" i="8"/>
  <c r="K45" i="8"/>
  <c r="E7" i="8"/>
  <c r="C7" i="14"/>
  <c r="C14" i="9"/>
  <c r="B5" i="12" s="1"/>
  <c r="D11" i="3"/>
  <c r="H20" i="3" s="1"/>
  <c r="J20" i="3" s="1"/>
  <c r="E11" i="3"/>
  <c r="C4" i="14"/>
  <c r="C5" i="14"/>
  <c r="C6" i="14"/>
  <c r="C5" i="10"/>
  <c r="C8" i="14"/>
  <c r="C14" i="14"/>
  <c r="E31" i="3" s="1"/>
  <c r="C6" i="15"/>
  <c r="D12" i="15" s="1"/>
  <c r="C13" i="9"/>
  <c r="C15" i="10" s="1"/>
  <c r="P49" i="8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B72" i="8"/>
  <c r="D72" i="8"/>
  <c r="D48" i="8"/>
  <c r="AA23" i="8"/>
  <c r="P21" i="8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B43" i="8" s="1"/>
  <c r="N21" i="8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O20" i="8"/>
  <c r="B20" i="8"/>
  <c r="AA21" i="8"/>
  <c r="AA27" i="8"/>
  <c r="H6" i="3" l="1"/>
  <c r="J6" i="3" s="1"/>
  <c r="H11" i="3"/>
  <c r="J11" i="3" s="1"/>
  <c r="M8" i="3"/>
  <c r="Q6" i="3" s="1"/>
  <c r="H26" i="3"/>
  <c r="J26" i="3" s="1"/>
  <c r="M5" i="3"/>
  <c r="Q3" i="3" s="1"/>
  <c r="M14" i="3"/>
  <c r="R5" i="3" s="1"/>
  <c r="M22" i="3"/>
  <c r="N14" i="3"/>
  <c r="R10" i="3" s="1"/>
  <c r="N8" i="3"/>
  <c r="Q12" i="3" s="1"/>
  <c r="N5" i="3"/>
  <c r="Q9" i="3" s="1"/>
  <c r="C26" i="10"/>
  <c r="C28" i="10" s="1"/>
  <c r="C27" i="10" s="1"/>
  <c r="D34" i="10" s="1"/>
  <c r="C14" i="10"/>
  <c r="F11" i="3"/>
  <c r="D32" i="3" s="1"/>
  <c r="B6" i="12"/>
  <c r="E33" i="3" s="1"/>
  <c r="F21" i="3"/>
  <c r="C16" i="10"/>
  <c r="C18" i="10" s="1"/>
  <c r="B3" i="12"/>
  <c r="C25" i="10"/>
  <c r="C22" i="14"/>
  <c r="E7" i="3"/>
  <c r="F7" i="3" s="1"/>
  <c r="E20" i="3"/>
  <c r="B49" i="8"/>
  <c r="D11" i="15"/>
  <c r="O49" i="8"/>
  <c r="C49" i="8" s="1"/>
  <c r="D49" i="8"/>
  <c r="B48" i="8"/>
  <c r="A16" i="8" s="1"/>
  <c r="D50" i="8"/>
  <c r="O50" i="8"/>
  <c r="B50" i="8"/>
  <c r="B24" i="8"/>
  <c r="B31" i="8"/>
  <c r="B26" i="8"/>
  <c r="B22" i="8"/>
  <c r="B25" i="8"/>
  <c r="B39" i="8"/>
  <c r="B37" i="8"/>
  <c r="B34" i="8"/>
  <c r="B38" i="8"/>
  <c r="B42" i="8"/>
  <c r="B36" i="8"/>
  <c r="B41" i="8"/>
  <c r="B28" i="8"/>
  <c r="B29" i="8"/>
  <c r="B23" i="8"/>
  <c r="B30" i="8"/>
  <c r="B35" i="8"/>
  <c r="B27" i="8"/>
  <c r="B33" i="8"/>
  <c r="B32" i="8"/>
  <c r="O21" i="8"/>
  <c r="B40" i="8"/>
  <c r="O22" i="8"/>
  <c r="H3" i="3" l="1"/>
  <c r="J3" i="3" s="1"/>
  <c r="H8" i="3"/>
  <c r="J8" i="3" s="1"/>
  <c r="M11" i="3"/>
  <c r="R2" i="3" s="1"/>
  <c r="M17" i="3"/>
  <c r="N11" i="3"/>
  <c r="R7" i="3" s="1"/>
  <c r="D21" i="3"/>
  <c r="C29" i="10"/>
  <c r="E22" i="3"/>
  <c r="E24" i="3" s="1"/>
  <c r="E8" i="3"/>
  <c r="C19" i="10"/>
  <c r="C36" i="10" s="1"/>
  <c r="C17" i="10"/>
  <c r="C34" i="10" s="1"/>
  <c r="C23" i="14"/>
  <c r="F12" i="15"/>
  <c r="G12" i="15"/>
  <c r="F11" i="15"/>
  <c r="G11" i="15"/>
  <c r="B51" i="8"/>
  <c r="D51" i="8"/>
  <c r="O51" i="8"/>
  <c r="C50" i="8"/>
  <c r="O23" i="8"/>
  <c r="H9" i="3" l="1"/>
  <c r="J9" i="3" s="1"/>
  <c r="F8" i="3"/>
  <c r="C39" i="10"/>
  <c r="D6" i="3"/>
  <c r="D35" i="10"/>
  <c r="C35" i="10" s="1"/>
  <c r="B7" i="12"/>
  <c r="B8" i="12" s="1"/>
  <c r="B9" i="12" s="1"/>
  <c r="C40" i="10"/>
  <c r="C41" i="10" s="1"/>
  <c r="D41" i="10" s="1"/>
  <c r="E12" i="3"/>
  <c r="H4" i="3"/>
  <c r="J4" i="3" s="1"/>
  <c r="M12" i="3"/>
  <c r="R3" i="3" s="1"/>
  <c r="M18" i="3"/>
  <c r="M19" i="3" s="1"/>
  <c r="N12" i="3"/>
  <c r="R8" i="3" s="1"/>
  <c r="C18" i="14"/>
  <c r="C19" i="14"/>
  <c r="C21" i="14"/>
  <c r="C24" i="14" s="1"/>
  <c r="D22" i="14" s="1"/>
  <c r="F14" i="15"/>
  <c r="F15" i="15" s="1"/>
  <c r="D52" i="8"/>
  <c r="O52" i="8"/>
  <c r="C51" i="8"/>
  <c r="B52" i="8"/>
  <c r="O24" i="8"/>
  <c r="D40" i="10" l="1"/>
  <c r="H23" i="3"/>
  <c r="J23" i="3" s="1"/>
  <c r="F6" i="3"/>
  <c r="H17" i="3"/>
  <c r="J17" i="3" s="1"/>
  <c r="D12" i="3"/>
  <c r="F12" i="3" s="1"/>
  <c r="M2" i="3"/>
  <c r="N2" i="3"/>
  <c r="M1" i="3"/>
  <c r="N1" i="3"/>
  <c r="D17" i="3"/>
  <c r="D28" i="3"/>
  <c r="D21" i="14"/>
  <c r="D23" i="14"/>
  <c r="B10" i="12"/>
  <c r="M4" i="3"/>
  <c r="D9" i="3"/>
  <c r="H18" i="3" s="1"/>
  <c r="J18" i="3" s="1"/>
  <c r="B53" i="8"/>
  <c r="C52" i="8"/>
  <c r="D53" i="8"/>
  <c r="O53" i="8"/>
  <c r="O25" i="8"/>
  <c r="M7" i="3" l="1"/>
  <c r="Q5" i="3" s="1"/>
  <c r="H25" i="3"/>
  <c r="J25" i="3" s="1"/>
  <c r="N7" i="3"/>
  <c r="Q11" i="3" s="1"/>
  <c r="N4" i="3"/>
  <c r="Q8" i="3" s="1"/>
  <c r="Q2" i="3"/>
  <c r="D54" i="8"/>
  <c r="O54" i="8"/>
  <c r="B54" i="8"/>
  <c r="C53" i="8"/>
  <c r="O26" i="8"/>
  <c r="C54" i="8" l="1"/>
  <c r="B55" i="8"/>
  <c r="D55" i="8"/>
  <c r="O55" i="8"/>
  <c r="O27" i="8"/>
  <c r="C55" i="8" l="1"/>
  <c r="D56" i="8"/>
  <c r="O56" i="8"/>
  <c r="B56" i="8"/>
  <c r="O28" i="8"/>
  <c r="B57" i="8" l="1"/>
  <c r="C56" i="8"/>
  <c r="D57" i="8"/>
  <c r="O57" i="8"/>
  <c r="O29" i="8"/>
  <c r="C57" i="8" l="1"/>
  <c r="B58" i="8"/>
  <c r="D58" i="8"/>
  <c r="O58" i="8"/>
  <c r="O30" i="8"/>
  <c r="C58" i="8" l="1"/>
  <c r="D59" i="8"/>
  <c r="O59" i="8"/>
  <c r="B59" i="8"/>
  <c r="O31" i="8"/>
  <c r="C59" i="8" l="1"/>
  <c r="B60" i="8"/>
  <c r="D60" i="8"/>
  <c r="O60" i="8"/>
  <c r="O32" i="8"/>
  <c r="B61" i="8" l="1"/>
  <c r="C60" i="8"/>
  <c r="D61" i="8"/>
  <c r="O61" i="8"/>
  <c r="O33" i="8"/>
  <c r="C61" i="8" l="1"/>
  <c r="D62" i="8"/>
  <c r="O62" i="8"/>
  <c r="B62" i="8"/>
  <c r="O34" i="8"/>
  <c r="B63" i="8" l="1"/>
  <c r="C62" i="8"/>
  <c r="D63" i="8"/>
  <c r="O63" i="8"/>
  <c r="O35" i="8"/>
  <c r="C63" i="8" l="1"/>
  <c r="D64" i="8"/>
  <c r="O64" i="8"/>
  <c r="B64" i="8"/>
  <c r="O36" i="8"/>
  <c r="B65" i="8" l="1"/>
  <c r="D65" i="8"/>
  <c r="O65" i="8"/>
  <c r="C64" i="8"/>
  <c r="O37" i="8"/>
  <c r="C65" i="8" l="1"/>
  <c r="D66" i="8"/>
  <c r="O66" i="8"/>
  <c r="B66" i="8"/>
  <c r="O38" i="8"/>
  <c r="C66" i="8" l="1"/>
  <c r="B67" i="8"/>
  <c r="D67" i="8"/>
  <c r="O67" i="8"/>
  <c r="O39" i="8"/>
  <c r="D68" i="8" l="1"/>
  <c r="O68" i="8"/>
  <c r="B68" i="8"/>
  <c r="C67" i="8"/>
  <c r="O40" i="8"/>
  <c r="B69" i="8" l="1"/>
  <c r="C68" i="8"/>
  <c r="D69" i="8"/>
  <c r="O69" i="8"/>
  <c r="O41" i="8"/>
  <c r="C69" i="8" l="1"/>
  <c r="D70" i="8"/>
  <c r="O70" i="8"/>
  <c r="B70" i="8"/>
  <c r="O42" i="8"/>
  <c r="B71" i="8" l="1"/>
  <c r="C70" i="8"/>
  <c r="D71" i="8"/>
  <c r="O71" i="8"/>
  <c r="O44" i="8"/>
  <c r="O43" i="8"/>
  <c r="C71" i="8" l="1"/>
  <c r="F9" i="3" l="1"/>
  <c r="C4" i="2"/>
  <c r="C5" i="2"/>
  <c r="C6" i="2"/>
  <c r="C7" i="2"/>
  <c r="C8" i="2"/>
  <c r="C9" i="2"/>
  <c r="C12" i="2"/>
  <c r="C13" i="2"/>
  <c r="C14" i="2"/>
  <c r="C15" i="2"/>
  <c r="C16" i="2"/>
  <c r="R38" i="8" l="1"/>
  <c r="R24" i="8"/>
  <c r="R54" i="8" l="1"/>
  <c r="E54" i="8"/>
  <c r="Q54" i="8" s="1"/>
  <c r="R49" i="8"/>
  <c r="E49" i="8"/>
  <c r="Q49" i="8" s="1"/>
  <c r="R61" i="8"/>
  <c r="E61" i="8"/>
  <c r="Q61" i="8" s="1"/>
  <c r="R70" i="8"/>
  <c r="E70" i="8"/>
  <c r="Q70" i="8" s="1"/>
  <c r="R55" i="8"/>
  <c r="E55" i="8"/>
  <c r="Q55" i="8" s="1"/>
  <c r="R36" i="8"/>
  <c r="R60" i="8"/>
  <c r="E60" i="8"/>
  <c r="Q60" i="8" s="1"/>
  <c r="R67" i="8"/>
  <c r="E67" i="8"/>
  <c r="Q67" i="8" s="1"/>
  <c r="R64" i="8"/>
  <c r="E64" i="8"/>
  <c r="Q64" i="8" s="1"/>
  <c r="R32" i="8"/>
  <c r="R56" i="8"/>
  <c r="E56" i="8"/>
  <c r="Q56" i="8" s="1"/>
  <c r="R71" i="8"/>
  <c r="E71" i="8"/>
  <c r="Q71" i="8" s="1"/>
  <c r="R68" i="8"/>
  <c r="E68" i="8"/>
  <c r="Q68" i="8" s="1"/>
  <c r="R72" i="8"/>
  <c r="E72" i="8"/>
  <c r="Q72" i="8" s="1"/>
  <c r="R48" i="8"/>
  <c r="E48" i="8"/>
  <c r="Q48" i="8" s="1"/>
  <c r="R63" i="8"/>
  <c r="E63" i="8"/>
  <c r="Q63" i="8" s="1"/>
  <c r="R53" i="8"/>
  <c r="E53" i="8"/>
  <c r="Q53" i="8" s="1"/>
  <c r="R62" i="8"/>
  <c r="E62" i="8"/>
  <c r="Q62" i="8" s="1"/>
  <c r="R50" i="8"/>
  <c r="E50" i="8"/>
  <c r="Q50" i="8" s="1"/>
  <c r="R58" i="8"/>
  <c r="E58" i="8"/>
  <c r="Q58" i="8" s="1"/>
  <c r="R69" i="8"/>
  <c r="E69" i="8"/>
  <c r="Q69" i="8" s="1"/>
  <c r="R65" i="8"/>
  <c r="E65" i="8"/>
  <c r="Q65" i="8" s="1"/>
  <c r="R52" i="8"/>
  <c r="E52" i="8"/>
  <c r="Q52" i="8" s="1"/>
  <c r="R35" i="8"/>
  <c r="R51" i="8"/>
  <c r="E51" i="8"/>
  <c r="Q51" i="8" s="1"/>
  <c r="R34" i="8"/>
  <c r="R59" i="8"/>
  <c r="E59" i="8"/>
  <c r="Q59" i="8" s="1"/>
  <c r="R31" i="8"/>
  <c r="R57" i="8"/>
  <c r="E57" i="8"/>
  <c r="Q57" i="8" s="1"/>
  <c r="R66" i="8"/>
  <c r="E66" i="8"/>
  <c r="Q66" i="8" s="1"/>
  <c r="R25" i="8"/>
  <c r="R28" i="8"/>
  <c r="R27" i="8"/>
  <c r="R26" i="8"/>
  <c r="R39" i="8"/>
  <c r="R20" i="8"/>
  <c r="R44" i="8"/>
  <c r="R22" i="8"/>
  <c r="R23" i="8"/>
  <c r="R40" i="8"/>
  <c r="R21" i="8"/>
  <c r="R41" i="8"/>
  <c r="R33" i="8"/>
  <c r="R37" i="8"/>
  <c r="R43" i="8"/>
  <c r="R42" i="8"/>
  <c r="R29" i="8"/>
  <c r="R30" i="8"/>
  <c r="AA25" i="8"/>
  <c r="C20" i="8"/>
  <c r="E20" i="8"/>
  <c r="AA22" i="8"/>
  <c r="C21" i="8" l="1"/>
  <c r="D44" i="8"/>
  <c r="A15" i="8" s="1"/>
  <c r="C44" i="8"/>
  <c r="AA26" i="8"/>
  <c r="D20" i="8"/>
  <c r="Q20" i="8"/>
  <c r="AA29" i="8" s="1"/>
  <c r="AA28" i="8"/>
  <c r="C23" i="8"/>
  <c r="D22" i="8"/>
  <c r="E44" i="8"/>
  <c r="Q44" i="8" s="1"/>
  <c r="E22" i="8" l="1"/>
  <c r="Q22" i="8" s="1"/>
  <c r="C22" i="8"/>
  <c r="C24" i="8"/>
  <c r="D23" i="8"/>
  <c r="E23" i="8"/>
  <c r="Q23" i="8" s="1"/>
  <c r="C25" i="8" l="1"/>
  <c r="D24" i="8"/>
  <c r="E24" i="8"/>
  <c r="Q24" i="8" s="1"/>
  <c r="C26" i="8" l="1"/>
  <c r="D25" i="8"/>
  <c r="E25" i="8"/>
  <c r="Q25" i="8" s="1"/>
  <c r="C27" i="8" l="1"/>
  <c r="D26" i="8"/>
  <c r="E26" i="8"/>
  <c r="Q26" i="8" s="1"/>
  <c r="C28" i="8" l="1"/>
  <c r="D27" i="8"/>
  <c r="E27" i="8"/>
  <c r="Q27" i="8" s="1"/>
  <c r="C29" i="8" l="1"/>
  <c r="D28" i="8"/>
  <c r="E28" i="8"/>
  <c r="Q28" i="8" s="1"/>
  <c r="C30" i="8" l="1"/>
  <c r="D29" i="8"/>
  <c r="E29" i="8"/>
  <c r="Q29" i="8" s="1"/>
  <c r="C31" i="8" l="1"/>
  <c r="D30" i="8"/>
  <c r="E30" i="8"/>
  <c r="Q30" i="8" s="1"/>
  <c r="C32" i="8" l="1"/>
  <c r="D31" i="8"/>
  <c r="E31" i="8"/>
  <c r="Q31" i="8" s="1"/>
  <c r="C33" i="8" l="1"/>
  <c r="D32" i="8"/>
  <c r="E32" i="8"/>
  <c r="Q32" i="8" s="1"/>
  <c r="C34" i="8" l="1"/>
  <c r="D33" i="8"/>
  <c r="E33" i="8"/>
  <c r="Q33" i="8" s="1"/>
  <c r="C35" i="8" l="1"/>
  <c r="D34" i="8"/>
  <c r="E34" i="8"/>
  <c r="Q34" i="8" s="1"/>
  <c r="C36" i="8" l="1"/>
  <c r="D35" i="8"/>
  <c r="E35" i="8"/>
  <c r="Q35" i="8" s="1"/>
  <c r="C37" i="8" l="1"/>
  <c r="D36" i="8"/>
  <c r="E36" i="8"/>
  <c r="Q36" i="8" s="1"/>
  <c r="C38" i="8" l="1"/>
  <c r="D37" i="8"/>
  <c r="E37" i="8"/>
  <c r="Q37" i="8" s="1"/>
  <c r="C39" i="8" l="1"/>
  <c r="D38" i="8"/>
  <c r="E38" i="8"/>
  <c r="Q38" i="8" s="1"/>
  <c r="C40" i="8" l="1"/>
  <c r="D39" i="8"/>
  <c r="E39" i="8"/>
  <c r="Q39" i="8" s="1"/>
  <c r="C41" i="8" l="1"/>
  <c r="D40" i="8"/>
  <c r="E40" i="8"/>
  <c r="Q40" i="8" s="1"/>
  <c r="C42" i="8" l="1"/>
  <c r="D41" i="8"/>
  <c r="E41" i="8"/>
  <c r="Q41" i="8" s="1"/>
  <c r="C43" i="8" l="1"/>
  <c r="D42" i="8"/>
  <c r="E42" i="8"/>
  <c r="Q42" i="8" s="1"/>
  <c r="D43" i="8" l="1"/>
  <c r="E43" i="8"/>
  <c r="Q43" i="8" s="1"/>
  <c r="D21" i="8" l="1"/>
  <c r="E21" i="8"/>
  <c r="Q21" i="8" s="1"/>
  <c r="B21" i="8"/>
  <c r="F33" i="10"/>
  <c r="E35" i="10"/>
  <c r="Q4" i="3"/>
  <c r="R4" i="3"/>
  <c r="H5" i="3"/>
  <c r="J5" i="3"/>
  <c r="M6" i="3"/>
  <c r="N6" i="3"/>
  <c r="R9" i="3"/>
  <c r="D10" i="3"/>
  <c r="E10" i="3"/>
  <c r="F10" i="3"/>
  <c r="H10" i="3"/>
  <c r="J10" i="3"/>
  <c r="Q10" i="3"/>
  <c r="D13" i="3"/>
  <c r="E13" i="3"/>
  <c r="F13" i="3"/>
  <c r="M13" i="3"/>
  <c r="N13" i="3"/>
  <c r="D14" i="3"/>
  <c r="E14" i="3"/>
  <c r="F14" i="3"/>
  <c r="H14" i="3"/>
  <c r="J14" i="3"/>
  <c r="H15" i="3"/>
  <c r="J15" i="3"/>
  <c r="D18" i="3"/>
  <c r="F18" i="3"/>
  <c r="H19" i="3"/>
  <c r="J19" i="3"/>
  <c r="M21" i="3"/>
  <c r="M23" i="3"/>
  <c r="N23" i="3"/>
  <c r="D24" i="3"/>
  <c r="F24" i="3"/>
  <c r="H24" i="3"/>
  <c r="J24" i="3"/>
  <c r="E25" i="3"/>
  <c r="D29" i="3"/>
  <c r="E12" i="8"/>
  <c r="F20" i="8"/>
  <c r="G20" i="8"/>
  <c r="H20" i="8"/>
  <c r="J20" i="8"/>
  <c r="U20" i="8"/>
  <c r="V20" i="8"/>
  <c r="W20" i="8"/>
  <c r="F21" i="8"/>
  <c r="G21" i="8"/>
  <c r="H21" i="8"/>
  <c r="J21" i="8"/>
  <c r="U21" i="8"/>
  <c r="V21" i="8"/>
  <c r="W21" i="8"/>
  <c r="F22" i="8"/>
  <c r="G22" i="8"/>
  <c r="H22" i="8"/>
  <c r="J22" i="8"/>
  <c r="U22" i="8"/>
  <c r="V22" i="8"/>
  <c r="W22" i="8"/>
  <c r="F23" i="8"/>
  <c r="G23" i="8"/>
  <c r="H23" i="8"/>
  <c r="J23" i="8"/>
  <c r="U23" i="8"/>
  <c r="V23" i="8"/>
  <c r="W23" i="8"/>
  <c r="F24" i="8"/>
  <c r="G24" i="8"/>
  <c r="H24" i="8"/>
  <c r="J24" i="8"/>
  <c r="U24" i="8"/>
  <c r="V24" i="8"/>
  <c r="W24" i="8"/>
  <c r="F25" i="8"/>
  <c r="G25" i="8"/>
  <c r="H25" i="8"/>
  <c r="J25" i="8"/>
  <c r="U25" i="8"/>
  <c r="V25" i="8"/>
  <c r="W25" i="8"/>
  <c r="F26" i="8"/>
  <c r="G26" i="8"/>
  <c r="H26" i="8"/>
  <c r="J26" i="8"/>
  <c r="U26" i="8"/>
  <c r="V26" i="8"/>
  <c r="W26" i="8"/>
  <c r="F27" i="8"/>
  <c r="G27" i="8"/>
  <c r="H27" i="8"/>
  <c r="J27" i="8"/>
  <c r="U27" i="8"/>
  <c r="V27" i="8"/>
  <c r="W27" i="8"/>
  <c r="F28" i="8"/>
  <c r="G28" i="8"/>
  <c r="H28" i="8"/>
  <c r="J28" i="8"/>
  <c r="U28" i="8"/>
  <c r="V28" i="8"/>
  <c r="W28" i="8"/>
  <c r="F29" i="8"/>
  <c r="G29" i="8"/>
  <c r="H29" i="8"/>
  <c r="J29" i="8"/>
  <c r="U29" i="8"/>
  <c r="V29" i="8"/>
  <c r="W29" i="8"/>
  <c r="F30" i="8"/>
  <c r="G30" i="8"/>
  <c r="H30" i="8"/>
  <c r="J30" i="8"/>
  <c r="U30" i="8"/>
  <c r="V30" i="8"/>
  <c r="W30" i="8"/>
  <c r="AA30" i="8"/>
  <c r="F31" i="8"/>
  <c r="G31" i="8"/>
  <c r="H31" i="8"/>
  <c r="J31" i="8"/>
  <c r="U31" i="8"/>
  <c r="V31" i="8"/>
  <c r="W31" i="8"/>
  <c r="AA31" i="8"/>
  <c r="F32" i="8"/>
  <c r="G32" i="8"/>
  <c r="H32" i="8"/>
  <c r="J32" i="8"/>
  <c r="U32" i="8"/>
  <c r="V32" i="8"/>
  <c r="W32" i="8"/>
  <c r="F33" i="8"/>
  <c r="G33" i="8"/>
  <c r="H33" i="8"/>
  <c r="J33" i="8"/>
  <c r="U33" i="8"/>
  <c r="V33" i="8"/>
  <c r="W33" i="8"/>
  <c r="F34" i="8"/>
  <c r="G34" i="8"/>
  <c r="H34" i="8"/>
  <c r="J34" i="8"/>
  <c r="U34" i="8"/>
  <c r="V34" i="8"/>
  <c r="W34" i="8"/>
  <c r="F35" i="8"/>
  <c r="G35" i="8"/>
  <c r="H35" i="8"/>
  <c r="J35" i="8"/>
  <c r="U35" i="8"/>
  <c r="V35" i="8"/>
  <c r="W35" i="8"/>
  <c r="AA35" i="8"/>
  <c r="F36" i="8"/>
  <c r="G36" i="8"/>
  <c r="H36" i="8"/>
  <c r="J36" i="8"/>
  <c r="U36" i="8"/>
  <c r="V36" i="8"/>
  <c r="W36" i="8"/>
  <c r="F37" i="8"/>
  <c r="G37" i="8"/>
  <c r="H37" i="8"/>
  <c r="J37" i="8"/>
  <c r="U37" i="8"/>
  <c r="V37" i="8"/>
  <c r="W37" i="8"/>
  <c r="F38" i="8"/>
  <c r="G38" i="8"/>
  <c r="H38" i="8"/>
  <c r="J38" i="8"/>
  <c r="U38" i="8"/>
  <c r="V38" i="8"/>
  <c r="W38" i="8"/>
  <c r="F39" i="8"/>
  <c r="G39" i="8"/>
  <c r="H39" i="8"/>
  <c r="J39" i="8"/>
  <c r="U39" i="8"/>
  <c r="V39" i="8"/>
  <c r="W39" i="8"/>
  <c r="F40" i="8"/>
  <c r="G40" i="8"/>
  <c r="H40" i="8"/>
  <c r="J40" i="8"/>
  <c r="U40" i="8"/>
  <c r="V40" i="8"/>
  <c r="W40" i="8"/>
  <c r="F41" i="8"/>
  <c r="G41" i="8"/>
  <c r="H41" i="8"/>
  <c r="J41" i="8"/>
  <c r="U41" i="8"/>
  <c r="V41" i="8"/>
  <c r="W41" i="8"/>
  <c r="F42" i="8"/>
  <c r="G42" i="8"/>
  <c r="H42" i="8"/>
  <c r="J42" i="8"/>
  <c r="U42" i="8"/>
  <c r="V42" i="8"/>
  <c r="W42" i="8"/>
  <c r="F43" i="8"/>
  <c r="G43" i="8"/>
  <c r="H43" i="8"/>
  <c r="J43" i="8"/>
  <c r="U43" i="8"/>
  <c r="V43" i="8"/>
  <c r="W43" i="8"/>
  <c r="F44" i="8"/>
  <c r="G44" i="8"/>
  <c r="H44" i="8"/>
  <c r="J44" i="8"/>
  <c r="U44" i="8"/>
  <c r="V44" i="8"/>
  <c r="W44" i="8"/>
  <c r="J45" i="8"/>
  <c r="F48" i="8"/>
  <c r="G48" i="8"/>
  <c r="H48" i="8"/>
  <c r="J48" i="8"/>
  <c r="U48" i="8"/>
  <c r="V48" i="8"/>
  <c r="W48" i="8"/>
  <c r="F49" i="8"/>
  <c r="G49" i="8"/>
  <c r="H49" i="8"/>
  <c r="J49" i="8"/>
  <c r="U49" i="8"/>
  <c r="V49" i="8"/>
  <c r="W49" i="8"/>
  <c r="F50" i="8"/>
  <c r="G50" i="8"/>
  <c r="H50" i="8"/>
  <c r="J50" i="8"/>
  <c r="U50" i="8"/>
  <c r="V50" i="8"/>
  <c r="W50" i="8"/>
  <c r="F51" i="8"/>
  <c r="G51" i="8"/>
  <c r="H51" i="8"/>
  <c r="J51" i="8"/>
  <c r="U51" i="8"/>
  <c r="V51" i="8"/>
  <c r="W51" i="8"/>
  <c r="F52" i="8"/>
  <c r="G52" i="8"/>
  <c r="H52" i="8"/>
  <c r="J52" i="8"/>
  <c r="U52" i="8"/>
  <c r="V52" i="8"/>
  <c r="W52" i="8"/>
  <c r="F53" i="8"/>
  <c r="G53" i="8"/>
  <c r="H53" i="8"/>
  <c r="J53" i="8"/>
  <c r="U53" i="8"/>
  <c r="V53" i="8"/>
  <c r="W53" i="8"/>
  <c r="F54" i="8"/>
  <c r="G54" i="8"/>
  <c r="H54" i="8"/>
  <c r="J54" i="8"/>
  <c r="U54" i="8"/>
  <c r="V54" i="8"/>
  <c r="W54" i="8"/>
  <c r="F55" i="8"/>
  <c r="G55" i="8"/>
  <c r="H55" i="8"/>
  <c r="J55" i="8"/>
  <c r="U55" i="8"/>
  <c r="V55" i="8"/>
  <c r="W55" i="8"/>
  <c r="F56" i="8"/>
  <c r="G56" i="8"/>
  <c r="H56" i="8"/>
  <c r="J56" i="8"/>
  <c r="U56" i="8"/>
  <c r="V56" i="8"/>
  <c r="W56" i="8"/>
  <c r="F57" i="8"/>
  <c r="G57" i="8"/>
  <c r="H57" i="8"/>
  <c r="J57" i="8"/>
  <c r="U57" i="8"/>
  <c r="V57" i="8"/>
  <c r="W57" i="8"/>
  <c r="F58" i="8"/>
  <c r="G58" i="8"/>
  <c r="H58" i="8"/>
  <c r="J58" i="8"/>
  <c r="U58" i="8"/>
  <c r="V58" i="8"/>
  <c r="W58" i="8"/>
  <c r="F59" i="8"/>
  <c r="G59" i="8"/>
  <c r="H59" i="8"/>
  <c r="J59" i="8"/>
  <c r="U59" i="8"/>
  <c r="V59" i="8"/>
  <c r="W59" i="8"/>
  <c r="F60" i="8"/>
  <c r="G60" i="8"/>
  <c r="H60" i="8"/>
  <c r="J60" i="8"/>
  <c r="U60" i="8"/>
  <c r="V60" i="8"/>
  <c r="W60" i="8"/>
  <c r="F61" i="8"/>
  <c r="G61" i="8"/>
  <c r="H61" i="8"/>
  <c r="J61" i="8"/>
  <c r="U61" i="8"/>
  <c r="V61" i="8"/>
  <c r="W61" i="8"/>
  <c r="F62" i="8"/>
  <c r="G62" i="8"/>
  <c r="H62" i="8"/>
  <c r="J62" i="8"/>
  <c r="U62" i="8"/>
  <c r="V62" i="8"/>
  <c r="W62" i="8"/>
  <c r="F63" i="8"/>
  <c r="G63" i="8"/>
  <c r="H63" i="8"/>
  <c r="J63" i="8"/>
  <c r="U63" i="8"/>
  <c r="V63" i="8"/>
  <c r="W63" i="8"/>
  <c r="F64" i="8"/>
  <c r="G64" i="8"/>
  <c r="H64" i="8"/>
  <c r="J64" i="8"/>
  <c r="U64" i="8"/>
  <c r="V64" i="8"/>
  <c r="W64" i="8"/>
  <c r="F65" i="8"/>
  <c r="G65" i="8"/>
  <c r="H65" i="8"/>
  <c r="J65" i="8"/>
  <c r="U65" i="8"/>
  <c r="V65" i="8"/>
  <c r="W65" i="8"/>
  <c r="F66" i="8"/>
  <c r="G66" i="8"/>
  <c r="H66" i="8"/>
  <c r="J66" i="8"/>
  <c r="U66" i="8"/>
  <c r="V66" i="8"/>
  <c r="W66" i="8"/>
  <c r="F67" i="8"/>
  <c r="G67" i="8"/>
  <c r="H67" i="8"/>
  <c r="J67" i="8"/>
  <c r="U67" i="8"/>
  <c r="V67" i="8"/>
  <c r="W67" i="8"/>
  <c r="F68" i="8"/>
  <c r="G68" i="8"/>
  <c r="H68" i="8"/>
  <c r="J68" i="8"/>
  <c r="U68" i="8"/>
  <c r="V68" i="8"/>
  <c r="W68" i="8"/>
  <c r="F69" i="8"/>
  <c r="G69" i="8"/>
  <c r="H69" i="8"/>
  <c r="J69" i="8"/>
  <c r="U69" i="8"/>
  <c r="V69" i="8"/>
  <c r="W69" i="8"/>
  <c r="F70" i="8"/>
  <c r="G70" i="8"/>
  <c r="H70" i="8"/>
  <c r="J70" i="8"/>
  <c r="U70" i="8"/>
  <c r="V70" i="8"/>
  <c r="W70" i="8"/>
  <c r="F71" i="8"/>
  <c r="G71" i="8"/>
  <c r="H71" i="8"/>
  <c r="J71" i="8"/>
  <c r="U71" i="8"/>
  <c r="V71" i="8"/>
  <c r="W71" i="8"/>
  <c r="F72" i="8"/>
  <c r="G72" i="8"/>
  <c r="H72" i="8"/>
  <c r="J72" i="8"/>
  <c r="U72" i="8"/>
  <c r="V72" i="8"/>
  <c r="W72" i="8"/>
  <c r="J7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Mella</author>
  </authors>
  <commentList>
    <comment ref="I7" authorId="0" shapeId="0" xr:uid="{E9C8976B-D147-7846-A079-52DFF3AD26B5}">
      <text>
        <r>
          <rPr>
            <b/>
            <sz val="10"/>
            <color rgb="FF000000"/>
            <rFont val="Tahoma"/>
            <family val="2"/>
          </rPr>
          <t>Ignacio Mella: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 capital cost determination relies on unit costs
</t>
        </r>
        <r>
          <rPr>
            <sz val="10"/>
            <color rgb="FF000000"/>
            <rFont val="Tahoma"/>
            <family val="2"/>
          </rPr>
          <t>of US$ 2/kg for steel pipe and US$ 125/m for FBE coating.</t>
        </r>
      </text>
    </comment>
  </commentList>
</comments>
</file>

<file path=xl/sharedStrings.xml><?xml version="1.0" encoding="utf-8"?>
<sst xmlns="http://schemas.openxmlformats.org/spreadsheetml/2006/main" count="746" uniqueCount="440">
  <si>
    <t>km</t>
  </si>
  <si>
    <t>Year</t>
  </si>
  <si>
    <t>m</t>
  </si>
  <si>
    <t>Design flow rate</t>
  </si>
  <si>
    <t>L/s</t>
  </si>
  <si>
    <t>m³/s</t>
  </si>
  <si>
    <t>m³/h</t>
  </si>
  <si>
    <t>kg/m³</t>
  </si>
  <si>
    <t>inches</t>
  </si>
  <si>
    <t>cP</t>
  </si>
  <si>
    <t>mm</t>
  </si>
  <si>
    <t>h/yr</t>
  </si>
  <si>
    <t>Gravitational acceleration</t>
  </si>
  <si>
    <t>m/s²</t>
  </si>
  <si>
    <t>Pump efficiency</t>
  </si>
  <si>
    <t>mm/yr</t>
  </si>
  <si>
    <t>Difference</t>
  </si>
  <si>
    <t>Bare</t>
  </si>
  <si>
    <t>FBE</t>
  </si>
  <si>
    <t>Extra Steel</t>
  </si>
  <si>
    <t>Biocide</t>
  </si>
  <si>
    <t>Total</t>
  </si>
  <si>
    <t>%</t>
  </si>
  <si>
    <t>Unit</t>
  </si>
  <si>
    <t>Value</t>
  </si>
  <si>
    <t>t</t>
  </si>
  <si>
    <t>m/s</t>
  </si>
  <si>
    <t>Velocidad Máxima de Operación Drenajes de Emergencia</t>
  </si>
  <si>
    <t>Velocidad Máxima de Operación Estaciones de Bombeo</t>
  </si>
  <si>
    <t>Rugosidad Absoluta Revestimiento Interior FBE</t>
  </si>
  <si>
    <t>Caudal Mínimo de operación</t>
  </si>
  <si>
    <t>Caudal de Diseño</t>
  </si>
  <si>
    <t>Viscosidad Dinámica Fluido</t>
  </si>
  <si>
    <t>Densidad Fluido</t>
  </si>
  <si>
    <t>°C</t>
  </si>
  <si>
    <t>Temperatura Fluido</t>
  </si>
  <si>
    <t>Valor</t>
  </si>
  <si>
    <t>Unidad</t>
  </si>
  <si>
    <t>Parámetro</t>
  </si>
  <si>
    <t>Túnel Coirón 28"</t>
  </si>
  <si>
    <t>Tunel La Guardia 28"</t>
  </si>
  <si>
    <t>Tunel Las Ánimas II 28"</t>
  </si>
  <si>
    <t>Descarga Bombas 14" EB3</t>
  </si>
  <si>
    <t>Manifold 28" EB3</t>
  </si>
  <si>
    <t>Máxima Presión Transiente (kPa(g))</t>
  </si>
  <si>
    <t>Fuerza Máxima (kgf)</t>
  </si>
  <si>
    <t>Elevación (msnm)</t>
  </si>
  <si>
    <t>Ubicación Longitudinal (km)</t>
  </si>
  <si>
    <t>max pressure</t>
  </si>
  <si>
    <t>Instalación</t>
  </si>
  <si>
    <t>Puente Río Choapa</t>
  </si>
  <si>
    <t>Puente Cruce Tranquilla</t>
  </si>
  <si>
    <t>Puente Estero Camisas</t>
  </si>
  <si>
    <t>Túnel Coirón</t>
  </si>
  <si>
    <t>Túnel La Guardia</t>
  </si>
  <si>
    <t>Túnel Las Ánimas</t>
  </si>
  <si>
    <t>Presión Operacional (kPa(g))</t>
  </si>
  <si>
    <t>psi</t>
  </si>
  <si>
    <t>$/t</t>
  </si>
  <si>
    <t>Cost Component</t>
  </si>
  <si>
    <t>m²</t>
  </si>
  <si>
    <t>Cost per Joint</t>
  </si>
  <si>
    <t>$/km</t>
  </si>
  <si>
    <t>Bare Pipe</t>
  </si>
  <si>
    <t>Bare pipe</t>
  </si>
  <si>
    <t>Inspections</t>
  </si>
  <si>
    <t>Item</t>
  </si>
  <si>
    <t>Annual discount Rate</t>
  </si>
  <si>
    <t>Interior FBE thickness</t>
  </si>
  <si>
    <t>Velocidad Diseño</t>
  </si>
  <si>
    <t>Wall thickness
[m]</t>
  </si>
  <si>
    <t>Head
Loss
[ m ]</t>
  </si>
  <si>
    <t>Yr</t>
  </si>
  <si>
    <t>Pipe
roughness
[m]</t>
  </si>
  <si>
    <t>Pipe
roughness
[ mm ]</t>
  </si>
  <si>
    <t>Flow
[L/s]</t>
  </si>
  <si>
    <t>Interior
Diameter
[ mm ]</t>
  </si>
  <si>
    <t>Viscosity
[ Pa·s ]</t>
  </si>
  <si>
    <t>Reynolds
Number
Re</t>
  </si>
  <si>
    <t>Reynolds Number</t>
  </si>
  <si>
    <t>Friction factor</t>
  </si>
  <si>
    <t>Annual hours of operation</t>
  </si>
  <si>
    <t>kg/m3</t>
  </si>
  <si>
    <t>m3/s</t>
  </si>
  <si>
    <t>Pa·s</t>
  </si>
  <si>
    <t xml:space="preserve">Density </t>
  </si>
  <si>
    <t xml:space="preserve">Flow </t>
  </si>
  <si>
    <t xml:space="preserve">Viscosity </t>
  </si>
  <si>
    <t xml:space="preserve">Exterior Diameter </t>
  </si>
  <si>
    <t xml:space="preserve">Interior Diameter </t>
  </si>
  <si>
    <t xml:space="preserve">Wall thickness </t>
  </si>
  <si>
    <t xml:space="preserve">Rougness </t>
  </si>
  <si>
    <t xml:space="preserve">Velocity </t>
  </si>
  <si>
    <t xml:space="preserve">Pump Efficiency </t>
  </si>
  <si>
    <t xml:space="preserve">Pump Power </t>
  </si>
  <si>
    <t xml:space="preserve">Energy cost </t>
  </si>
  <si>
    <t>FBE coated</t>
  </si>
  <si>
    <t>Flow
Rate
[m3/s]</t>
  </si>
  <si>
    <t>Friction
factor
f</t>
  </si>
  <si>
    <t>Wall
thickness
[ mm ]</t>
  </si>
  <si>
    <t>Eq
Left
Side</t>
  </si>
  <si>
    <t>Eq
Right
Side</t>
  </si>
  <si>
    <t>f
diff
Error</t>
  </si>
  <si>
    <t>Fluid 
Velocity
[m/s]</t>
  </si>
  <si>
    <t>Outside
Diameter [m]</t>
  </si>
  <si>
    <t>Inside
Diameter
[m]</t>
  </si>
  <si>
    <t>Dynamic viscosity of water</t>
  </si>
  <si>
    <t>Density
kg/m3</t>
  </si>
  <si>
    <t>$/joint</t>
  </si>
  <si>
    <t>$/kWh</t>
  </si>
  <si>
    <t xml:space="preserve">Friction Head Loss </t>
  </si>
  <si>
    <t>Elevation Head Loss</t>
  </si>
  <si>
    <t>C</t>
  </si>
  <si>
    <t>W</t>
  </si>
  <si>
    <t>$/yr</t>
  </si>
  <si>
    <t>Annual cost of energy · C</t>
  </si>
  <si>
    <t>Extra Inspections</t>
  </si>
  <si>
    <t>Pump 
Elevation
[ kW ]</t>
  </si>
  <si>
    <t>Pump
Friction
[ kW ]</t>
  </si>
  <si>
    <t>Elevation</t>
  </si>
  <si>
    <t>Friction
factor f
[   ]</t>
  </si>
  <si>
    <t>Electricity
Friction 
[ M$ ]</t>
  </si>
  <si>
    <t>Electricity
Elevation
[ M$ ]</t>
  </si>
  <si>
    <t>Extra Friction Energy</t>
  </si>
  <si>
    <t>Parameter</t>
  </si>
  <si>
    <t>Variable name</t>
  </si>
  <si>
    <t>X70 Steel density</t>
  </si>
  <si>
    <t>Outside diameter</t>
  </si>
  <si>
    <t>Segment length</t>
  </si>
  <si>
    <t>HRC price</t>
  </si>
  <si>
    <t>Roughness FBE year 1</t>
  </si>
  <si>
    <t>Roughness FBE year 25</t>
  </si>
  <si>
    <t>Roughness bare year 1</t>
  </si>
  <si>
    <t>Roughness bare year 25</t>
  </si>
  <si>
    <t>FBE wall  year 1</t>
  </si>
  <si>
    <t>Bare wall  year 1</t>
  </si>
  <si>
    <t>SI base unit</t>
  </si>
  <si>
    <t>Electrical energy</t>
  </si>
  <si>
    <t>Pipeline Length</t>
  </si>
  <si>
    <t>Arbitrary</t>
  </si>
  <si>
    <t>yr</t>
  </si>
  <si>
    <t>$/MWh</t>
  </si>
  <si>
    <t>Elevation change</t>
  </si>
  <si>
    <t>Bare Inside Diameter year 1</t>
  </si>
  <si>
    <t>FBE Inside Diameter year 1</t>
  </si>
  <si>
    <t>Service life</t>
  </si>
  <si>
    <t>Wall corrosion rate</t>
  </si>
  <si>
    <t>Fluid density</t>
  </si>
  <si>
    <t>Bare wall yr 1</t>
  </si>
  <si>
    <t>Length of pipeline</t>
  </si>
  <si>
    <t>hot-rolled steel coil (hrc) price</t>
  </si>
  <si>
    <t>kg</t>
  </si>
  <si>
    <t>Freight cost</t>
  </si>
  <si>
    <t>$/kg</t>
  </si>
  <si>
    <t>$</t>
  </si>
  <si>
    <t>China Inland</t>
  </si>
  <si>
    <t>Ocean Freight</t>
  </si>
  <si>
    <t>Chile Inland</t>
  </si>
  <si>
    <t>Cost of bare pipes</t>
  </si>
  <si>
    <t>FBE wall yr 1</t>
  </si>
  <si>
    <t>Cost of FBE pipes</t>
  </si>
  <si>
    <t>Diff/Bare</t>
  </si>
  <si>
    <t>Strategy</t>
  </si>
  <si>
    <t>Steel cost</t>
  </si>
  <si>
    <t>Percentage</t>
  </si>
  <si>
    <t>Flow rate</t>
  </si>
  <si>
    <t>$/m²</t>
  </si>
  <si>
    <t>Mobilization of Crew &amp; Equipment</t>
  </si>
  <si>
    <t>Demobilization of Crew &amp; Equipment</t>
  </si>
  <si>
    <t>Personnel &amp; Robotic Equipment</t>
  </si>
  <si>
    <t>Pre-blasting Personnel &amp; Equipment</t>
  </si>
  <si>
    <t>Internal Coating Application</t>
  </si>
  <si>
    <t>Pipe-End Pre-blasting</t>
  </si>
  <si>
    <t>Total Cost per Joint</t>
  </si>
  <si>
    <t>Total Field Internal Coating</t>
  </si>
  <si>
    <t>Joints</t>
  </si>
  <si>
    <t>hr/yr</t>
  </si>
  <si>
    <t>m³</t>
  </si>
  <si>
    <t>Total volume</t>
  </si>
  <si>
    <t>Inhibitor</t>
  </si>
  <si>
    <t>m³/month</t>
  </si>
  <si>
    <t>m³/hr</t>
  </si>
  <si>
    <t>Dosage</t>
  </si>
  <si>
    <t>Price 
[ $/kg ]</t>
  </si>
  <si>
    <t>Mass
[ kg/yr ]</t>
  </si>
  <si>
    <t>Compound</t>
  </si>
  <si>
    <t>Mass
[ kg/month ]</t>
  </si>
  <si>
    <t>Discount Rate</t>
  </si>
  <si>
    <t>Present Value</t>
  </si>
  <si>
    <t>Inside Diameter (D)</t>
  </si>
  <si>
    <t>Pipeline Liength (L)</t>
  </si>
  <si>
    <t>FBE pipeline Inner Surface (pi·D·L)</t>
  </si>
  <si>
    <t>Cost per interior Surface Area (CPS)</t>
  </si>
  <si>
    <t>Bare · Volume of 1 m of pipe</t>
  </si>
  <si>
    <t>Bare · Inside Diameter Yr 1</t>
  </si>
  <si>
    <t>Bare · Steel weight of pipes</t>
  </si>
  <si>
    <t>FBE · Inside Diameter Yr 1</t>
  </si>
  <si>
    <t>FBE · Volume of 1 m of pipe</t>
  </si>
  <si>
    <t>FBE · Steel weight of pipes</t>
  </si>
  <si>
    <t>Field Joint Coating</t>
  </si>
  <si>
    <t>Shop FBE coating</t>
  </si>
  <si>
    <t>Field joint coating</t>
  </si>
  <si>
    <t>Total steel cost</t>
  </si>
  <si>
    <t>Total Field Shop Steel</t>
  </si>
  <si>
    <t>Bare annual Inspection</t>
  </si>
  <si>
    <t>FBE annual Inspection</t>
  </si>
  <si>
    <t>Bare inspection cost</t>
  </si>
  <si>
    <t>FBE inspection cost</t>
  </si>
  <si>
    <t>Bare PV Inspection</t>
  </si>
  <si>
    <t>FBE PV Inspection</t>
  </si>
  <si>
    <t>Projected Price of electricity</t>
  </si>
  <si>
    <t>Fluid Density</t>
  </si>
  <si>
    <t>Shop Coating</t>
  </si>
  <si>
    <t>Extra Inhibitors</t>
  </si>
  <si>
    <t>Joint Field Coating</t>
  </si>
  <si>
    <t>Coated Pipe</t>
  </si>
  <si>
    <t>Bare pipe Cost of Electricity Year 1</t>
  </si>
  <si>
    <t>$/Wh</t>
  </si>
  <si>
    <t>Descuento por volumen</t>
  </si>
  <si>
    <t>Initial wall thickness</t>
  </si>
  <si>
    <t>Steel Weight</t>
  </si>
  <si>
    <t>Coated</t>
  </si>
  <si>
    <t>FBE percentage</t>
  </si>
  <si>
    <t>Steel Percentage</t>
  </si>
  <si>
    <t>NEEDED</t>
  </si>
  <si>
    <t>New commercial steel (0.045–0.09 mm)</t>
  </si>
  <si>
    <t>Field data from carbon steel water mains show roughness growth rates of 0.0055–0.0518 mm/yr, yielding 0.14–1.3 mm over 25 years.</t>
  </si>
  <si>
    <t>Average</t>
  </si>
  <si>
    <t>Comments</t>
  </si>
  <si>
    <t>The 0.015 mm value reflects field conditions with minor surface imperfections, aligning with coated pipe database</t>
  </si>
  <si>
    <t>https://www.imia.com/wp-content/uploads/2023/08/IMIA-WGP-126-22-Coating-Failures.pdf</t>
  </si>
  <si>
    <t>Terminal roughness of 0.035 mm better reflects seawater ageing dynamics while remaining within ISO 21809-2 tolerances</t>
  </si>
  <si>
    <t>https://www.pipeflow.com/pipe-pressure-drop-calculations/pipe-roughness</t>
  </si>
  <si>
    <t>https://apps.dtic.mil/sti/tr/pdf/ADA194321.pdf</t>
  </si>
  <si>
    <t>https://www.steelmains.com/files/TWT%2015140%20Comparison%20of%20Sintakote%20vs%20Epoxy%20coatings%20on%20steel%20water%20pipe.pdf</t>
  </si>
  <si>
    <t>https://nepis.epa.gov/Exe/ZyPURL.cgi?Dockey=10003FIW.TXT</t>
  </si>
  <si>
    <t>Confidential Quote</t>
  </si>
  <si>
    <t>The 0.15 mm/year corrosion rate assumption holds validity for industrial water systems with adequate treatment (pH 7–8.5, inhibitor dosing). However, seawater models require adjustment to 0.25–0.35 mm/year baseline rates with additional 0.12–0.18 mm/year biofouling roughness increments.</t>
  </si>
  <si>
    <t>Reference 1</t>
  </si>
  <si>
    <t>Reference 2</t>
  </si>
  <si>
    <t>Cost per weight (CPW)</t>
  </si>
  <si>
    <t>µm</t>
  </si>
  <si>
    <t>Friction Energy</t>
  </si>
  <si>
    <t>Steel design</t>
  </si>
  <si>
    <t>Steel corrosion</t>
  </si>
  <si>
    <t>Shop coating</t>
  </si>
  <si>
    <t>Cutback 0.5 m uncoated</t>
  </si>
  <si>
    <t>Rest of the pipe coated</t>
  </si>
  <si>
    <t>Times more expensive</t>
  </si>
  <si>
    <t>Times more expensive per surface area</t>
  </si>
  <si>
    <t>:Steel #0a82b0</t>
  </si>
  <si>
    <t>:Field Joint Coating #0a82b0</t>
  </si>
  <si>
    <t>:Shop Coating #0a82b0</t>
  </si>
  <si>
    <t>:Friction Energy #74b4dd</t>
  </si>
  <si>
    <t>:Inspections #74b4dd</t>
  </si>
  <si>
    <t>:Steel design #0a82b0</t>
  </si>
  <si>
    <t>:Steel corrosion #0a82b0</t>
  </si>
  <si>
    <t>:Dosing Plant #0a82b0</t>
  </si>
  <si>
    <t>:Inhibitors #74b4dd</t>
  </si>
  <si>
    <t>Dosing plant</t>
  </si>
  <si>
    <t>:Savings #0db14b</t>
  </si>
  <si>
    <t>:Coated\nPipe  #00b5ff</t>
  </si>
  <si>
    <t>:Bare\nPipe #005b80</t>
  </si>
  <si>
    <t>:Bare\nCAPEX #003c54</t>
  </si>
  <si>
    <t>:Bare\nOPEX #003c54</t>
  </si>
  <si>
    <t>:Coated\nCAPEX #009bd9</t>
  </si>
  <si>
    <t>:Coated\nOPEX #009bd9</t>
  </si>
  <si>
    <t>:Shop Coating #0080b3</t>
  </si>
  <si>
    <t>:Coated\nFriction\nEnergy #0080b3</t>
  </si>
  <si>
    <t>:Coated\nOPEX #0080b3</t>
  </si>
  <si>
    <t>:Coated\nInspections #0080b3</t>
  </si>
  <si>
    <t>https://sankeymatic.com/</t>
  </si>
  <si>
    <t>:Field Joint\nCoating #0080b3</t>
  </si>
  <si>
    <t>Sankey Diagrams</t>
  </si>
  <si>
    <t>BIOS</t>
  </si>
  <si>
    <t>Weld</t>
  </si>
  <si>
    <t>12"</t>
  </si>
  <si>
    <t>MCenizas</t>
  </si>
  <si>
    <t>Cenizas</t>
  </si>
  <si>
    <t>SDomingo</t>
  </si>
  <si>
    <t>36"</t>
  </si>
  <si>
    <t>SQM</t>
  </si>
  <si>
    <t>TEA</t>
  </si>
  <si>
    <t>Ifarle</t>
  </si>
  <si>
    <t>28"</t>
  </si>
  <si>
    <t>Adasa</t>
  </si>
  <si>
    <t>Capellan</t>
  </si>
  <si>
    <t>Jindal</t>
  </si>
  <si>
    <t xml:space="preserve"> HPadur</t>
  </si>
  <si>
    <t>Techint</t>
  </si>
  <si>
    <t>LE</t>
  </si>
  <si>
    <t>48"</t>
  </si>
  <si>
    <t>Codelco</t>
  </si>
  <si>
    <t>RTomic</t>
  </si>
  <si>
    <t>Bechtel</t>
  </si>
  <si>
    <t>AQahtani</t>
  </si>
  <si>
    <t>Corinth Pipeworks</t>
  </si>
  <si>
    <t>3M</t>
  </si>
  <si>
    <t>44"</t>
  </si>
  <si>
    <t>CMDIC</t>
  </si>
  <si>
    <t>C20+</t>
  </si>
  <si>
    <t>Fluor</t>
  </si>
  <si>
    <t>Tyhoo</t>
  </si>
  <si>
    <t>MAceros</t>
  </si>
  <si>
    <t>KCC</t>
  </si>
  <si>
    <t>Primed FBE</t>
  </si>
  <si>
    <t>AMSA</t>
  </si>
  <si>
    <t>PAO</t>
  </si>
  <si>
    <t>APacifico</t>
  </si>
  <si>
    <t>Aconcagua</t>
  </si>
  <si>
    <t>Ausenco</t>
  </si>
  <si>
    <t>Teck</t>
  </si>
  <si>
    <t>QBlanca</t>
  </si>
  <si>
    <t>🟡🟢🟢</t>
  </si>
  <si>
    <t>ProPipe</t>
  </si>
  <si>
    <t>Weld/Vic</t>
  </si>
  <si>
    <t>24"</t>
  </si>
  <si>
    <t>INCO</t>
  </si>
  <si>
    <t>HDPE</t>
  </si>
  <si>
    <t>18"</t>
  </si>
  <si>
    <t>AlgortaN</t>
  </si>
  <si>
    <t>Algorta</t>
  </si>
  <si>
    <t>🔴🟠🟡🩹</t>
  </si>
  <si>
    <t>GRP</t>
  </si>
  <si>
    <t>2x42"</t>
  </si>
  <si>
    <t>MEL</t>
  </si>
  <si>
    <t>EWSE</t>
  </si>
  <si>
    <t>Protegol</t>
  </si>
  <si>
    <t>PU</t>
  </si>
  <si>
    <t>30"</t>
  </si>
  <si>
    <t>AngloAm</t>
  </si>
  <si>
    <t>Quellaveco</t>
  </si>
  <si>
    <t>🟢🟢🟢</t>
  </si>
  <si>
    <t xml:space="preserve"> 3M</t>
  </si>
  <si>
    <t>P FBE➜HDPE</t>
  </si>
  <si>
    <t>Brass</t>
  </si>
  <si>
    <t>-</t>
  </si>
  <si>
    <t>BHP</t>
  </si>
  <si>
    <t>Spence SGO</t>
  </si>
  <si>
    <t xml:space="preserve">- Inspecciones - Zonas altas: Punto de rocia caía tanto enla noche.
Cura en funcion de la tempratura. Dew point caía tanto que. 
Viscocidad baja.
</t>
  </si>
  <si>
    <t>- CPRS. 5meses de atrasos. Double joint. Lanza.</t>
  </si>
  <si>
    <t>SaudiAramco</t>
  </si>
  <si>
    <t>EWS</t>
  </si>
  <si>
    <t>Bare➜HDPE</t>
  </si>
  <si>
    <t>SGSCM</t>
  </si>
  <si>
    <t>SGorda</t>
  </si>
  <si>
    <t>Capstone</t>
  </si>
  <si>
    <t>Mantoverde</t>
  </si>
  <si>
    <t>🔴🟠🟡</t>
  </si>
  <si>
    <t>FBE➜HDPE</t>
  </si>
  <si>
    <t>CAP</t>
  </si>
  <si>
    <t>Cerro Negro</t>
  </si>
  <si>
    <t>FBE&amp;HDPE</t>
  </si>
  <si>
    <t>24”</t>
  </si>
  <si>
    <t>Lundin</t>
  </si>
  <si>
    <t>Candelaria</t>
  </si>
  <si>
    <t>Centinela</t>
  </si>
  <si>
    <t>🟢🟠🟡</t>
  </si>
  <si>
    <t>??</t>
  </si>
  <si>
    <t>20-24"</t>
  </si>
  <si>
    <t>Los Bronces</t>
  </si>
  <si>
    <t>LE➜HDPE</t>
  </si>
  <si>
    <t>Coloso</t>
  </si>
  <si>
    <t>LE➜Bare</t>
  </si>
  <si>
    <t>solo uniones Tyhoo</t>
  </si>
  <si>
    <t>Pelambres</t>
  </si>
  <si>
    <t xml:space="preserve">- FBE Socotrem. </t>
  </si>
  <si>
    <t xml:space="preserve">- TE 
- Pendiente. Generado. Pendiente. 13º. 
- LE - Compacto. Mas pendiente. 
- Primer siempre es mejor. Fenolic. Base agua. </t>
  </si>
  <si>
    <t>✅✅✅</t>
  </si>
  <si>
    <t>Monturaqui</t>
  </si>
  <si>
    <t>Que tal?</t>
  </si>
  <si>
    <t>Column1</t>
  </si>
  <si>
    <t>Eng</t>
  </si>
  <si>
    <t>Tipo</t>
  </si>
  <si>
    <t>Revestidor</t>
  </si>
  <si>
    <t>Cañerías</t>
  </si>
  <si>
    <t>Reparaciones</t>
  </si>
  <si>
    <t>Constructor</t>
  </si>
  <si>
    <t>Fluid</t>
  </si>
  <si>
    <t>Length</t>
  </si>
  <si>
    <t>Size</t>
  </si>
  <si>
    <t>Owner</t>
  </si>
  <si>
    <t>Name</t>
  </si>
  <si>
    <t xml:space="preserve">20" API 5L </t>
  </si>
  <si>
    <t>FOB</t>
  </si>
  <si>
    <t>FBE interior</t>
  </si>
  <si>
    <t>3LPE ext</t>
  </si>
  <si>
    <t>Freight</t>
  </si>
  <si>
    <t>External Coating</t>
  </si>
  <si>
    <t>NPS</t>
  </si>
  <si>
    <t>BARED</t>
  </si>
  <si>
    <t>PIPE API 5L GRADE X65M PSL2 SAWL ASME B36.10 SCH 30 (THK=15.88mm) BE NPS 28" EXTERNAL COATING: 3LPE EXTRUDED TYPE N ACC. TO DIN 30670:2012 THK=3.0mm INNER COATING: BARED </t>
  </si>
  <si>
    <t>PIPE API 5L GRADE X65M PSL2 SAWL ASME B36.10 SCH XS (THK=12.70mm) BE NPS 28" EXTERNAL COATING: 3LPE EXTRUDED TYPE N ACC. TO DIN 30670:2012 THK=3.0mm INNER COATING: BARED </t>
  </si>
  <si>
    <t>PIPE API 5L GRADE X65M PSL2 SAWL ASME B36.10 SCH STD (THK=9.53mm) BE NPS 28" EXTERNAL COATING: 3LPE EXTRUDED TYPE N ACC. TO DIN 30670:2012 THK=3.0mm INNER COATING: BARED </t>
  </si>
  <si>
    <t>3LPE THK=3.0MM</t>
  </si>
  <si>
    <t>PIPE API 5L GRADE X65M PSL2 SAWL ASME B36.10 SCH XS (THK=12.70mm) BE NPS 28" EXTERNAL COATING: 3LPE EXTRUDED TYPE N ACC. TO DIN 30670:2012 THK=3.0mm INNER COATING: FUSION-BONDED EPOXY (FBE) ACC. TO AWWA C213 DFT=625 MICRONS </t>
  </si>
  <si>
    <t>PIPE API 5L GRADE X65M PSL2 SAWL ASME B36.10 SCH 30 (THK=15.88mm) BE NPS 28" EXTERNAL COATING: 3LPE EXTRUDED TYPE N ACC. TO DIN 30670:2012 THK=3.0mm INNER COATING: FUSION-BONDED EPOXY (FBE) ACC. TO AWWA C213 DFT=625 MICRONS </t>
  </si>
  <si>
    <t>PIPE API 5L GRADE X65M PSL2 SAWL ASME B36.10 SCH STD (THK=9.53mm) BE NPS 28" EXTERNAL COATING: 3LPE EXTRUDED TYPE N ACC. TO DIN 30670:2012 THK=3.0mm INNER COATING: FUSION-BONDED EPOXY (FBE) ACC. TO AWWA C213 DFT=625 MICRONS </t>
  </si>
  <si>
    <t>FBE 625MICRES</t>
  </si>
  <si>
    <t>PIPE API 5L GRADE X65M PSL2 SAWL ASME B36.10 SCH 30 (THK=15.88mm) BE NPS 28" EXTERNAL COATING: 3LPE EXTRUDED TYPE N ACC. TO DIN 30670:2012 THK=3.0mm INNER COATING: 100% SOLIDS POLYURETHANE ACC. TO AWWA C222 DFT=625 MICRONS </t>
  </si>
  <si>
    <t>PIPE API 5L GRADE X65M PSL2 SAWL ASME B36.10 SCH 30 (THK=12.70mm) BE NPS 28" EXTERNAL COATING: 3LPE EXTRUDED TYPE N ACC. TO DIN 30670:2012 THK=3.0mm INNER COATING: 100% SOLIDS POLYURETHANE ACC. TO AWWA C222 DFT=625 MICRONS </t>
  </si>
  <si>
    <t>PIPE API 5L GRADE X65M PSL2 SAWL ASME B36.10 SCH 30 (THK=9.53mm) BE NPS 28" EXTERNAL COATING: 3LPE EXTRUDED TYPE N ACC. TO DIN 30670:2012 THK=3.0mm INNER COATING: 100% SOLIDS POLYURETHANE ACC. TO AWWA C222 DFT=625 MICRONS </t>
  </si>
  <si>
    <t>100%SOL.PU 625MICRES</t>
  </si>
  <si>
    <t>Descr</t>
  </si>
  <si>
    <t>Volume</t>
  </si>
  <si>
    <t>Weight</t>
  </si>
  <si>
    <t>CPW</t>
  </si>
  <si>
    <t>Qty.
[ m ]</t>
  </si>
  <si>
    <t>Price</t>
  </si>
  <si>
    <t>Inner Coating</t>
  </si>
  <si>
    <t>Date</t>
  </si>
  <si>
    <t>CFR BODEGAS LAMPA</t>
  </si>
  <si>
    <t>Wall [ mm ]</t>
  </si>
  <si>
    <t>FBE extra</t>
  </si>
  <si>
    <t>HRC to X70 value added multiplier</t>
  </si>
  <si>
    <t xml:space="preserve"> well</t>
  </si>
  <si>
    <t xml:space="preserve"> desal</t>
  </si>
  <si>
    <t>desal</t>
  </si>
  <si>
    <t>recovered</t>
  </si>
  <si>
    <t xml:space="preserve"> recovered</t>
  </si>
  <si>
    <t>seawater</t>
  </si>
  <si>
    <t xml:space="preserve"> seawater</t>
  </si>
  <si>
    <t>river</t>
  </si>
  <si>
    <t>extra wall (bare - fbe)</t>
  </si>
  <si>
    <t>Extra wall thickness</t>
  </si>
  <si>
    <t>Base steel</t>
  </si>
  <si>
    <t>Field internal joint coating service</t>
  </si>
  <si>
    <t>CAPEX</t>
  </si>
  <si>
    <t>OPEX</t>
  </si>
  <si>
    <t>Type</t>
  </si>
  <si>
    <t>Total CAPEX</t>
  </si>
  <si>
    <t>Total OPEX</t>
  </si>
  <si>
    <t>Total Expenditure</t>
  </si>
  <si>
    <t>Coated Savings</t>
  </si>
  <si>
    <t>Expenditure Category</t>
  </si>
  <si>
    <t>Extra Steel for Corrosion</t>
  </si>
  <si>
    <t>Shop-applied Coating</t>
  </si>
  <si>
    <t>Corrosion Inhibitors</t>
  </si>
  <si>
    <t>Corrosion Extra Steel</t>
  </si>
  <si>
    <t>Corrosion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</si>
</sst>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"/>
    <numFmt numFmtId="165" formatCode="_-* #,##0.00000_-;\-* #,##0.00000_-;_-* &quot;-&quot;_-;_-@_-"/>
    <numFmt numFmtId="166" formatCode="_-* #,##0.00000000_-;\-* #,##0.00000000_-;_-* &quot;-&quot;_-;_-@_-"/>
    <numFmt numFmtId="167" formatCode="0\ &quot;psi&quot;"/>
    <numFmt numFmtId="168" formatCode="0.0000"/>
    <numFmt numFmtId="169" formatCode="&quot;$&quot;#,##0"/>
    <numFmt numFmtId="170" formatCode="&quot;$&quot;#,##0.00"/>
    <numFmt numFmtId="171" formatCode="_-* #,##0.000000_-;\-* #,##0.000000_-;_-* &quot;-&quot;??_-;_-@_-"/>
    <numFmt numFmtId="172" formatCode="&quot;$&quot;#,##0.00\ &quot;MM&quot;"/>
    <numFmt numFmtId="173" formatCode="0.000"/>
    <numFmt numFmtId="174" formatCode="0.0%"/>
    <numFmt numFmtId="175" formatCode="0.000000"/>
    <numFmt numFmtId="176" formatCode="0.00000"/>
    <numFmt numFmtId="177" formatCode="0.00000000000"/>
    <numFmt numFmtId="178" formatCode="0.E+00"/>
    <numFmt numFmtId="179" formatCode="&quot;$&quot;#,##0.0"/>
    <numFmt numFmtId="180" formatCode="#,##0.0\ &quot;kg/month&quot;"/>
    <numFmt numFmtId="181" formatCode="#,##0\ &quot;kg&quot;"/>
    <numFmt numFmtId="182" formatCode="0.0\ &quot;m³&quot;"/>
    <numFmt numFmtId="183" formatCode="_-* #,##0.000_-;\-* #,##0.000_-;_-* &quot;-&quot;_-;_-@_-"/>
  </numFmts>
  <fonts count="37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rgb="FF212529"/>
      <name val="Arial"/>
      <family val="2"/>
    </font>
    <font>
      <sz val="8"/>
      <color theme="1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Aptos Narrow"/>
      <family val="2"/>
      <scheme val="minor"/>
    </font>
    <font>
      <sz val="9"/>
      <color theme="0"/>
      <name val="Lucida Sans Typewriter Regular"/>
    </font>
    <font>
      <sz val="8"/>
      <color theme="0"/>
      <name val="Lucida Sans Typewriter Regular"/>
    </font>
    <font>
      <sz val="8"/>
      <color theme="0" tint="-0.34998626667073579"/>
      <name val="Lantinghei TC Extralight"/>
    </font>
    <font>
      <sz val="9"/>
      <color theme="0"/>
      <name val="Helvetica Neue Medium"/>
    </font>
    <font>
      <sz val="8"/>
      <color theme="0"/>
      <name val="Helvetica Neue Medium"/>
    </font>
    <font>
      <sz val="8"/>
      <color rgb="FFFFF700"/>
      <name val="Lucida Sans Typewriter Regular"/>
    </font>
    <font>
      <sz val="9"/>
      <color rgb="FFFFF700"/>
      <name val="Lucida Sans Typewriter Regular"/>
    </font>
    <font>
      <b/>
      <sz val="9"/>
      <color rgb="FFFFF700"/>
      <name val="Lucida Sans Typewriter Regular"/>
    </font>
    <font>
      <sz val="12"/>
      <color rgb="FF3F3F76"/>
      <name val="Aptos Narrow"/>
      <family val="2"/>
      <scheme val="minor"/>
    </font>
    <font>
      <sz val="11"/>
      <color theme="1"/>
      <name val="Times New Roman"/>
      <family val="1"/>
    </font>
    <font>
      <sz val="11"/>
      <color theme="1"/>
      <name val="Aptos Narrow"/>
      <family val="2"/>
      <scheme val="minor"/>
    </font>
    <font>
      <sz val="10"/>
      <color theme="1"/>
      <name val="Aptos Narrow"/>
      <scheme val="minor"/>
    </font>
    <font>
      <sz val="8"/>
      <color theme="1"/>
      <name val="Aptos Narrow"/>
      <family val="2"/>
      <scheme val="minor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Aptos Narrow"/>
      <scheme val="minor"/>
    </font>
    <font>
      <sz val="8"/>
      <color theme="0"/>
      <name val="Lantinghei TC Extralight"/>
    </font>
    <font>
      <u/>
      <sz val="12"/>
      <color theme="10"/>
      <name val="Aptos Narrow"/>
      <family val="2"/>
      <scheme val="minor"/>
    </font>
    <font>
      <sz val="12"/>
      <color theme="1"/>
      <name val="Aptos Narrow"/>
      <scheme val="minor"/>
    </font>
    <font>
      <sz val="11"/>
      <color theme="1"/>
      <name val="Helvetica Neue"/>
      <family val="2"/>
    </font>
    <font>
      <b/>
      <sz val="11"/>
      <color theme="1"/>
      <name val="Helvetica Neue"/>
      <family val="2"/>
    </font>
    <font>
      <b/>
      <sz val="8"/>
      <name val="Times New Roman"/>
      <family val="1"/>
    </font>
    <font>
      <b/>
      <sz val="8"/>
      <color rgb="FFFFFFFF"/>
      <name val="Times New Roman"/>
      <family val="1"/>
    </font>
    <font>
      <sz val="8"/>
      <name val="Times New Roman"/>
      <family val="1"/>
    </font>
    <font>
      <sz val="8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10220A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n">
        <color theme="0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theme="0"/>
      </top>
      <bottom/>
      <diagonal/>
    </border>
    <border>
      <left style="medium">
        <color rgb="FFFFFFFF"/>
      </left>
      <right/>
      <top style="thick">
        <color rgb="FFFFFFFF"/>
      </top>
      <bottom/>
      <diagonal/>
    </border>
    <border>
      <left style="thin">
        <color theme="0"/>
      </left>
      <right/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3" borderId="7" applyNumberFormat="0" applyAlignment="0" applyProtection="0"/>
    <xf numFmtId="0" fontId="25" fillId="0" borderId="0" applyNumberFormat="0" applyFill="0" applyBorder="0" applyAlignment="0" applyProtection="0"/>
  </cellStyleXfs>
  <cellXfs count="22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16" fontId="3" fillId="0" borderId="0" xfId="0" applyNumberFormat="1" applyFont="1"/>
    <xf numFmtId="16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7" fontId="2" fillId="0" borderId="0" xfId="0" applyNumberFormat="1" applyFont="1" applyAlignment="1">
      <alignment wrapText="1"/>
    </xf>
    <xf numFmtId="169" fontId="0" fillId="0" borderId="0" xfId="0" applyNumberFormat="1"/>
    <xf numFmtId="169" fontId="0" fillId="0" borderId="0" xfId="1" applyNumberFormat="1" applyFont="1"/>
    <xf numFmtId="174" fontId="0" fillId="0" borderId="0" xfId="3" applyNumberFormat="1" applyFont="1"/>
    <xf numFmtId="170" fontId="0" fillId="0" borderId="0" xfId="1" applyNumberFormat="1" applyFont="1"/>
    <xf numFmtId="170" fontId="0" fillId="0" borderId="0" xfId="0" applyNumberFormat="1"/>
    <xf numFmtId="0" fontId="0" fillId="0" borderId="0" xfId="0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10" fillId="2" borderId="5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right"/>
    </xf>
    <xf numFmtId="3" fontId="9" fillId="2" borderId="5" xfId="0" applyNumberFormat="1" applyFont="1" applyFill="1" applyBorder="1" applyAlignment="1">
      <alignment horizontal="right"/>
    </xf>
    <xf numFmtId="0" fontId="8" fillId="2" borderId="0" xfId="0" applyFont="1" applyFill="1" applyAlignment="1">
      <alignment horizontal="left" vertical="top"/>
    </xf>
    <xf numFmtId="173" fontId="8" fillId="2" borderId="0" xfId="0" applyNumberFormat="1" applyFont="1" applyFill="1" applyAlignment="1">
      <alignment horizontal="left" vertical="top"/>
    </xf>
    <xf numFmtId="173" fontId="8" fillId="2" borderId="0" xfId="1" applyNumberFormat="1" applyFont="1" applyFill="1" applyBorder="1" applyAlignment="1">
      <alignment horizontal="left" vertical="top"/>
    </xf>
    <xf numFmtId="176" fontId="8" fillId="2" borderId="0" xfId="1" applyNumberFormat="1" applyFont="1" applyFill="1" applyBorder="1" applyAlignment="1">
      <alignment horizontal="left" vertical="top"/>
    </xf>
    <xf numFmtId="175" fontId="8" fillId="2" borderId="0" xfId="0" applyNumberFormat="1" applyFont="1" applyFill="1" applyAlignment="1">
      <alignment horizontal="left" vertical="top"/>
    </xf>
    <xf numFmtId="2" fontId="8" fillId="2" borderId="0" xfId="0" applyNumberFormat="1" applyFont="1" applyFill="1" applyAlignment="1">
      <alignment horizontal="left" vertical="top"/>
    </xf>
    <xf numFmtId="1" fontId="8" fillId="2" borderId="0" xfId="1" applyNumberFormat="1" applyFont="1" applyFill="1" applyBorder="1" applyAlignment="1">
      <alignment horizontal="left" vertical="top"/>
    </xf>
    <xf numFmtId="0" fontId="10" fillId="2" borderId="0" xfId="0" applyFont="1" applyFill="1" applyAlignment="1">
      <alignment horizontal="left" vertical="top"/>
    </xf>
    <xf numFmtId="1" fontId="10" fillId="2" borderId="0" xfId="1" applyNumberFormat="1" applyFont="1" applyFill="1" applyBorder="1" applyAlignment="1">
      <alignment horizontal="center"/>
    </xf>
    <xf numFmtId="176" fontId="10" fillId="2" borderId="0" xfId="0" applyNumberFormat="1" applyFont="1" applyFill="1" applyAlignment="1">
      <alignment horizontal="center"/>
    </xf>
    <xf numFmtId="165" fontId="10" fillId="2" borderId="0" xfId="1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78" fontId="10" fillId="2" borderId="0" xfId="0" applyNumberFormat="1" applyFont="1" applyFill="1" applyAlignment="1">
      <alignment horizontal="right"/>
    </xf>
    <xf numFmtId="177" fontId="8" fillId="2" borderId="0" xfId="0" applyNumberFormat="1" applyFont="1" applyFill="1" applyAlignment="1">
      <alignment horizontal="right"/>
    </xf>
    <xf numFmtId="176" fontId="8" fillId="2" borderId="0" xfId="0" applyNumberFormat="1" applyFont="1" applyFill="1"/>
    <xf numFmtId="1" fontId="8" fillId="2" borderId="0" xfId="0" applyNumberFormat="1" applyFont="1" applyFill="1"/>
    <xf numFmtId="0" fontId="8" fillId="2" borderId="0" xfId="0" applyFont="1" applyFill="1" applyAlignment="1">
      <alignment horizontal="right" wrapText="1"/>
    </xf>
    <xf numFmtId="173" fontId="8" fillId="2" borderId="0" xfId="0" applyNumberFormat="1" applyFont="1" applyFill="1"/>
    <xf numFmtId="2" fontId="8" fillId="2" borderId="0" xfId="0" applyNumberFormat="1" applyFont="1" applyFill="1"/>
    <xf numFmtId="41" fontId="8" fillId="2" borderId="0" xfId="1" applyFont="1" applyFill="1" applyBorder="1" applyAlignment="1">
      <alignment horizontal="right"/>
    </xf>
    <xf numFmtId="175" fontId="8" fillId="2" borderId="0" xfId="0" applyNumberFormat="1" applyFont="1" applyFill="1"/>
    <xf numFmtId="0" fontId="8" fillId="2" borderId="2" xfId="0" applyFont="1" applyFill="1" applyBorder="1" applyAlignment="1">
      <alignment horizontal="left" vertical="top"/>
    </xf>
    <xf numFmtId="173" fontId="8" fillId="2" borderId="2" xfId="0" applyNumberFormat="1" applyFont="1" applyFill="1" applyBorder="1" applyAlignment="1">
      <alignment horizontal="left" vertical="top"/>
    </xf>
    <xf numFmtId="173" fontId="8" fillId="2" borderId="2" xfId="1" applyNumberFormat="1" applyFont="1" applyFill="1" applyBorder="1" applyAlignment="1">
      <alignment horizontal="left" vertical="top"/>
    </xf>
    <xf numFmtId="176" fontId="8" fillId="2" borderId="2" xfId="1" applyNumberFormat="1" applyFont="1" applyFill="1" applyBorder="1" applyAlignment="1">
      <alignment horizontal="left" vertical="top"/>
    </xf>
    <xf numFmtId="175" fontId="8" fillId="2" borderId="2" xfId="0" applyNumberFormat="1" applyFont="1" applyFill="1" applyBorder="1" applyAlignment="1">
      <alignment horizontal="left" vertical="top"/>
    </xf>
    <xf numFmtId="2" fontId="8" fillId="2" borderId="2" xfId="0" applyNumberFormat="1" applyFont="1" applyFill="1" applyBorder="1" applyAlignment="1">
      <alignment horizontal="left" vertical="top"/>
    </xf>
    <xf numFmtId="0" fontId="10" fillId="2" borderId="2" xfId="0" applyFont="1" applyFill="1" applyBorder="1" applyAlignment="1">
      <alignment horizontal="left" vertical="top"/>
    </xf>
    <xf numFmtId="0" fontId="10" fillId="2" borderId="2" xfId="0" applyFont="1" applyFill="1" applyBorder="1" applyAlignment="1">
      <alignment horizontal="center"/>
    </xf>
    <xf numFmtId="1" fontId="10" fillId="2" borderId="2" xfId="1" applyNumberFormat="1" applyFont="1" applyFill="1" applyBorder="1" applyAlignment="1">
      <alignment horizontal="center"/>
    </xf>
    <xf numFmtId="165" fontId="10" fillId="2" borderId="2" xfId="1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center"/>
    </xf>
    <xf numFmtId="178" fontId="10" fillId="2" borderId="2" xfId="0" applyNumberFormat="1" applyFont="1" applyFill="1" applyBorder="1" applyAlignment="1">
      <alignment horizontal="right"/>
    </xf>
    <xf numFmtId="177" fontId="8" fillId="2" borderId="2" xfId="0" applyNumberFormat="1" applyFont="1" applyFill="1" applyBorder="1" applyAlignment="1">
      <alignment horizontal="right"/>
    </xf>
    <xf numFmtId="0" fontId="8" fillId="2" borderId="2" xfId="0" applyFont="1" applyFill="1" applyBorder="1"/>
    <xf numFmtId="168" fontId="8" fillId="2" borderId="0" xfId="0" applyNumberFormat="1" applyFont="1" applyFill="1" applyAlignment="1">
      <alignment horizontal="left" vertical="top"/>
    </xf>
    <xf numFmtId="175" fontId="10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left" wrapText="1"/>
    </xf>
    <xf numFmtId="0" fontId="10" fillId="2" borderId="5" xfId="0" applyFont="1" applyFill="1" applyBorder="1" applyAlignment="1">
      <alignment horizontal="left" wrapText="1"/>
    </xf>
    <xf numFmtId="0" fontId="9" fillId="2" borderId="0" xfId="0" applyFont="1" applyFill="1" applyAlignment="1">
      <alignment horizontal="left"/>
    </xf>
    <xf numFmtId="0" fontId="9" fillId="2" borderId="5" xfId="0" applyFont="1" applyFill="1" applyBorder="1" applyAlignment="1">
      <alignment horizontal="center" wrapText="1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/>
    <xf numFmtId="0" fontId="11" fillId="2" borderId="0" xfId="0" applyFont="1" applyFill="1"/>
    <xf numFmtId="6" fontId="15" fillId="2" borderId="0" xfId="1" applyNumberFormat="1" applyFont="1" applyFill="1" applyBorder="1" applyAlignment="1">
      <alignment horizontal="right" vertical="top"/>
    </xf>
    <xf numFmtId="0" fontId="7" fillId="0" borderId="4" xfId="0" applyFont="1" applyBorder="1"/>
    <xf numFmtId="0" fontId="0" fillId="0" borderId="8" xfId="0" applyBorder="1"/>
    <xf numFmtId="173" fontId="0" fillId="0" borderId="0" xfId="0" applyNumberFormat="1"/>
    <xf numFmtId="41" fontId="0" fillId="0" borderId="0" xfId="1" applyFont="1"/>
    <xf numFmtId="0" fontId="0" fillId="0" borderId="2" xfId="0" applyBorder="1"/>
    <xf numFmtId="41" fontId="0" fillId="0" borderId="2" xfId="1" applyFont="1" applyBorder="1"/>
    <xf numFmtId="0" fontId="0" fillId="0" borderId="0" xfId="0" applyAlignment="1">
      <alignment horizontal="right" vertical="center"/>
    </xf>
    <xf numFmtId="9" fontId="0" fillId="0" borderId="0" xfId="3" applyFont="1" applyAlignment="1">
      <alignment horizontal="right" vertical="center"/>
    </xf>
    <xf numFmtId="169" fontId="0" fillId="0" borderId="0" xfId="1" applyNumberFormat="1" applyFont="1" applyAlignment="1">
      <alignment horizontal="right" vertical="center"/>
    </xf>
    <xf numFmtId="174" fontId="0" fillId="0" borderId="0" xfId="3" applyNumberFormat="1" applyFont="1" applyAlignment="1">
      <alignment horizontal="right" vertic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left"/>
    </xf>
    <xf numFmtId="43" fontId="17" fillId="0" borderId="0" xfId="0" applyNumberFormat="1" applyFont="1"/>
    <xf numFmtId="0" fontId="17" fillId="0" borderId="0" xfId="0" applyFont="1" applyAlignment="1">
      <alignment horizontal="right"/>
    </xf>
    <xf numFmtId="41" fontId="17" fillId="0" borderId="0" xfId="1" applyFont="1" applyBorder="1"/>
    <xf numFmtId="174" fontId="17" fillId="0" borderId="0" xfId="3" applyNumberFormat="1" applyFont="1" applyBorder="1"/>
    <xf numFmtId="0" fontId="19" fillId="0" borderId="0" xfId="0" applyFont="1" applyAlignment="1">
      <alignment horizontal="right"/>
    </xf>
    <xf numFmtId="41" fontId="19" fillId="0" borderId="0" xfId="1" applyFont="1" applyBorder="1" applyAlignment="1">
      <alignment horizontal="right"/>
    </xf>
    <xf numFmtId="169" fontId="19" fillId="0" borderId="0" xfId="0" applyNumberFormat="1" applyFont="1" applyAlignment="1">
      <alignment horizontal="right"/>
    </xf>
    <xf numFmtId="174" fontId="18" fillId="0" borderId="0" xfId="3" applyNumberFormat="1" applyFont="1" applyBorder="1"/>
    <xf numFmtId="173" fontId="4" fillId="0" borderId="0" xfId="0" applyNumberFormat="1" applyFont="1" applyAlignment="1">
      <alignment horizontal="right"/>
    </xf>
    <xf numFmtId="173" fontId="4" fillId="0" borderId="2" xfId="0" applyNumberFormat="1" applyFont="1" applyBorder="1" applyAlignment="1">
      <alignment horizontal="right"/>
    </xf>
    <xf numFmtId="173" fontId="20" fillId="0" borderId="0" xfId="0" applyNumberFormat="1" applyFont="1"/>
    <xf numFmtId="170" fontId="0" fillId="0" borderId="2" xfId="0" applyNumberFormat="1" applyBorder="1"/>
    <xf numFmtId="6" fontId="0" fillId="0" borderId="0" xfId="0" applyNumberFormat="1"/>
    <xf numFmtId="0" fontId="21" fillId="0" borderId="0" xfId="0" applyFont="1"/>
    <xf numFmtId="0" fontId="22" fillId="0" borderId="0" xfId="0" applyFont="1"/>
    <xf numFmtId="6" fontId="21" fillId="0" borderId="0" xfId="0" applyNumberFormat="1" applyFont="1"/>
    <xf numFmtId="180" fontId="0" fillId="0" borderId="0" xfId="1" applyNumberFormat="1" applyFont="1"/>
    <xf numFmtId="179" fontId="21" fillId="0" borderId="0" xfId="0" applyNumberFormat="1" applyFont="1"/>
    <xf numFmtId="2" fontId="0" fillId="0" borderId="0" xfId="0" applyNumberFormat="1"/>
    <xf numFmtId="9" fontId="21" fillId="0" borderId="0" xfId="3" applyFont="1"/>
    <xf numFmtId="41" fontId="10" fillId="2" borderId="0" xfId="1" applyFont="1" applyFill="1" applyBorder="1" applyAlignment="1">
      <alignment horizontal="center"/>
    </xf>
    <xf numFmtId="41" fontId="10" fillId="2" borderId="2" xfId="1" applyFont="1" applyFill="1" applyBorder="1" applyAlignment="1">
      <alignment horizontal="center"/>
    </xf>
    <xf numFmtId="0" fontId="18" fillId="0" borderId="0" xfId="0" applyFont="1" applyAlignment="1">
      <alignment horizontal="right"/>
    </xf>
    <xf numFmtId="0" fontId="23" fillId="0" borderId="0" xfId="0" applyFont="1"/>
    <xf numFmtId="165" fontId="0" fillId="0" borderId="0" xfId="1" applyNumberFormat="1" applyFont="1"/>
    <xf numFmtId="166" fontId="0" fillId="0" borderId="0" xfId="1" applyNumberFormat="1" applyFont="1"/>
    <xf numFmtId="174" fontId="18" fillId="0" borderId="0" xfId="3" applyNumberFormat="1" applyFont="1"/>
    <xf numFmtId="9" fontId="0" fillId="0" borderId="0" xfId="3" applyFont="1"/>
    <xf numFmtId="176" fontId="24" fillId="2" borderId="0" xfId="0" applyNumberFormat="1" applyFont="1" applyFill="1" applyAlignment="1">
      <alignment horizontal="center"/>
    </xf>
    <xf numFmtId="176" fontId="24" fillId="2" borderId="2" xfId="0" applyNumberFormat="1" applyFont="1" applyFill="1" applyBorder="1" applyAlignment="1">
      <alignment horizontal="center"/>
    </xf>
    <xf numFmtId="165" fontId="24" fillId="2" borderId="0" xfId="1" applyNumberFormat="1" applyFont="1" applyFill="1" applyBorder="1" applyAlignment="1">
      <alignment horizontal="center"/>
    </xf>
    <xf numFmtId="165" fontId="24" fillId="2" borderId="2" xfId="1" applyNumberFormat="1" applyFont="1" applyFill="1" applyBorder="1" applyAlignment="1">
      <alignment horizontal="center"/>
    </xf>
    <xf numFmtId="0" fontId="13" fillId="2" borderId="5" xfId="0" applyFont="1" applyFill="1" applyBorder="1" applyAlignment="1">
      <alignment horizontal="right" wrapText="1"/>
    </xf>
    <xf numFmtId="175" fontId="24" fillId="2" borderId="0" xfId="0" applyNumberFormat="1" applyFont="1" applyFill="1" applyAlignment="1">
      <alignment horizontal="center"/>
    </xf>
    <xf numFmtId="175" fontId="24" fillId="2" borderId="2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69" fontId="14" fillId="2" borderId="0" xfId="1" applyNumberFormat="1" applyFont="1" applyFill="1" applyBorder="1" applyAlignment="1">
      <alignment horizontal="left" vertical="top"/>
    </xf>
    <xf numFmtId="169" fontId="14" fillId="2" borderId="6" xfId="1" applyNumberFormat="1" applyFont="1" applyFill="1" applyBorder="1" applyAlignment="1">
      <alignment horizontal="left" vertical="top"/>
    </xf>
    <xf numFmtId="169" fontId="15" fillId="2" borderId="0" xfId="1" applyNumberFormat="1" applyFont="1" applyFill="1" applyBorder="1" applyAlignment="1">
      <alignment horizontal="left" vertical="top"/>
    </xf>
    <xf numFmtId="169" fontId="14" fillId="2" borderId="0" xfId="1" applyNumberFormat="1" applyFont="1" applyFill="1" applyAlignment="1">
      <alignment horizontal="left"/>
    </xf>
    <xf numFmtId="169" fontId="13" fillId="2" borderId="5" xfId="1" applyNumberFormat="1" applyFont="1" applyFill="1" applyBorder="1" applyAlignment="1">
      <alignment horizontal="left" wrapText="1"/>
    </xf>
    <xf numFmtId="9" fontId="21" fillId="0" borderId="0" xfId="0" applyNumberFormat="1" applyFont="1"/>
    <xf numFmtId="0" fontId="16" fillId="3" borderId="0" xfId="4" applyBorder="1"/>
    <xf numFmtId="0" fontId="7" fillId="0" borderId="0" xfId="0" applyFont="1"/>
    <xf numFmtId="2" fontId="16" fillId="3" borderId="0" xfId="4" applyNumberFormat="1" applyBorder="1"/>
    <xf numFmtId="0" fontId="7" fillId="0" borderId="4" xfId="0" applyFont="1" applyBorder="1" applyAlignment="1">
      <alignment horizontal="left" vertical="top"/>
    </xf>
    <xf numFmtId="169" fontId="0" fillId="0" borderId="0" xfId="1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174" fontId="0" fillId="0" borderId="0" xfId="3" applyNumberFormat="1" applyFont="1" applyAlignment="1">
      <alignment horizontal="left" vertical="top"/>
    </xf>
    <xf numFmtId="170" fontId="0" fillId="0" borderId="0" xfId="1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169" fontId="0" fillId="0" borderId="0" xfId="1" applyNumberFormat="1" applyFont="1" applyBorder="1" applyAlignment="1">
      <alignment horizontal="left" vertical="top"/>
    </xf>
    <xf numFmtId="9" fontId="0" fillId="0" borderId="0" xfId="3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169" fontId="7" fillId="0" borderId="1" xfId="0" applyNumberFormat="1" applyFont="1" applyBorder="1" applyAlignment="1">
      <alignment horizontal="left" vertical="top"/>
    </xf>
    <xf numFmtId="169" fontId="0" fillId="0" borderId="1" xfId="0" applyNumberFormat="1" applyBorder="1" applyAlignment="1">
      <alignment horizontal="left" vertical="top"/>
    </xf>
    <xf numFmtId="1" fontId="16" fillId="3" borderId="0" xfId="4" applyNumberFormat="1" applyBorder="1"/>
    <xf numFmtId="0" fontId="16" fillId="0" borderId="0" xfId="4" applyFill="1" applyBorder="1"/>
    <xf numFmtId="164" fontId="0" fillId="0" borderId="0" xfId="0" applyNumberFormat="1"/>
    <xf numFmtId="1" fontId="0" fillId="0" borderId="0" xfId="0" applyNumberFormat="1"/>
    <xf numFmtId="164" fontId="0" fillId="0" borderId="0" xfId="3" applyNumberFormat="1" applyFont="1"/>
    <xf numFmtId="173" fontId="16" fillId="3" borderId="0" xfId="4" applyNumberFormat="1" applyBorder="1"/>
    <xf numFmtId="0" fontId="7" fillId="0" borderId="2" xfId="0" applyFont="1" applyBorder="1"/>
    <xf numFmtId="0" fontId="25" fillId="0" borderId="0" xfId="5"/>
    <xf numFmtId="3" fontId="0" fillId="0" borderId="2" xfId="1" applyNumberFormat="1" applyFont="1" applyBorder="1"/>
    <xf numFmtId="42" fontId="16" fillId="3" borderId="0" xfId="2" applyFont="1" applyFill="1" applyBorder="1"/>
    <xf numFmtId="42" fontId="0" fillId="0" borderId="0" xfId="2" applyFont="1"/>
    <xf numFmtId="44" fontId="0" fillId="0" borderId="0" xfId="0" applyNumberFormat="1"/>
    <xf numFmtId="10" fontId="0" fillId="0" borderId="0" xfId="3" applyNumberFormat="1" applyFont="1"/>
    <xf numFmtId="10" fontId="16" fillId="3" borderId="7" xfId="4" applyNumberFormat="1"/>
    <xf numFmtId="172" fontId="0" fillId="0" borderId="0" xfId="1" applyNumberFormat="1" applyFont="1" applyBorder="1" applyAlignment="1">
      <alignment horizontal="left" vertical="top"/>
    </xf>
    <xf numFmtId="169" fontId="7" fillId="0" borderId="0" xfId="0" applyNumberFormat="1" applyFont="1" applyAlignment="1">
      <alignment horizontal="left" vertical="top"/>
    </xf>
    <xf numFmtId="169" fontId="0" fillId="0" borderId="0" xfId="0" applyNumberFormat="1" applyAlignment="1">
      <alignment horizontal="left" vertical="top"/>
    </xf>
    <xf numFmtId="6" fontId="0" fillId="0" borderId="0" xfId="0" applyNumberFormat="1" applyAlignment="1">
      <alignment horizontal="left"/>
    </xf>
    <xf numFmtId="174" fontId="7" fillId="0" borderId="0" xfId="3" applyNumberFormat="1" applyFont="1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 applyAlignment="1">
      <alignment wrapText="1"/>
    </xf>
    <xf numFmtId="0" fontId="0" fillId="0" borderId="4" xfId="0" applyBorder="1"/>
    <xf numFmtId="2" fontId="0" fillId="0" borderId="4" xfId="0" applyNumberFormat="1" applyBorder="1"/>
    <xf numFmtId="41" fontId="0" fillId="0" borderId="4" xfId="1" applyFont="1" applyBorder="1"/>
    <xf numFmtId="179" fontId="21" fillId="0" borderId="4" xfId="0" applyNumberFormat="1" applyFont="1" applyBorder="1"/>
    <xf numFmtId="169" fontId="0" fillId="0" borderId="4" xfId="1" applyNumberFormat="1" applyFont="1" applyBorder="1"/>
    <xf numFmtId="180" fontId="0" fillId="0" borderId="4" xfId="1" applyNumberFormat="1" applyFont="1" applyBorder="1"/>
    <xf numFmtId="169" fontId="0" fillId="0" borderId="0" xfId="1" applyNumberFormat="1" applyFont="1" applyBorder="1"/>
    <xf numFmtId="169" fontId="7" fillId="0" borderId="3" xfId="0" applyNumberFormat="1" applyFont="1" applyBorder="1"/>
    <xf numFmtId="180" fontId="7" fillId="0" borderId="3" xfId="0" applyNumberFormat="1" applyFont="1" applyBorder="1"/>
    <xf numFmtId="3" fontId="0" fillId="0" borderId="0" xfId="1" applyNumberFormat="1" applyFont="1"/>
    <xf numFmtId="174" fontId="0" fillId="0" borderId="0" xfId="3" applyNumberFormat="1" applyFont="1" applyBorder="1" applyAlignment="1">
      <alignment horizontal="left" vertical="top"/>
    </xf>
    <xf numFmtId="0" fontId="26" fillId="0" borderId="0" xfId="0" applyFont="1" applyAlignment="1">
      <alignment horizontal="left" vertical="top"/>
    </xf>
    <xf numFmtId="0" fontId="27" fillId="0" borderId="0" xfId="0" applyFont="1"/>
    <xf numFmtId="0" fontId="28" fillId="0" borderId="0" xfId="0" applyFont="1"/>
    <xf numFmtId="3" fontId="27" fillId="0" borderId="0" xfId="0" applyNumberFormat="1" applyFont="1"/>
    <xf numFmtId="4" fontId="27" fillId="0" borderId="0" xfId="0" applyNumberFormat="1" applyFont="1"/>
    <xf numFmtId="4" fontId="28" fillId="0" borderId="0" xfId="0" applyNumberFormat="1" applyFont="1"/>
    <xf numFmtId="0" fontId="27" fillId="0" borderId="0" xfId="0" applyFont="1" applyAlignment="1">
      <alignment wrapText="1"/>
    </xf>
    <xf numFmtId="15" fontId="27" fillId="0" borderId="0" xfId="0" applyNumberFormat="1" applyFont="1"/>
    <xf numFmtId="181" fontId="27" fillId="0" borderId="0" xfId="1" applyNumberFormat="1" applyFont="1"/>
    <xf numFmtId="182" fontId="27" fillId="0" borderId="0" xfId="1" applyNumberFormat="1" applyFont="1"/>
    <xf numFmtId="182" fontId="27" fillId="0" borderId="0" xfId="0" applyNumberFormat="1" applyFont="1"/>
    <xf numFmtId="4" fontId="27" fillId="4" borderId="0" xfId="0" applyNumberFormat="1" applyFont="1" applyFill="1"/>
    <xf numFmtId="183" fontId="0" fillId="4" borderId="0" xfId="1" applyNumberFormat="1" applyFont="1" applyFill="1"/>
    <xf numFmtId="164" fontId="16" fillId="3" borderId="0" xfId="4" applyNumberFormat="1" applyBorder="1"/>
    <xf numFmtId="0" fontId="32" fillId="0" borderId="12" xfId="0" applyFont="1" applyBorder="1" applyAlignment="1">
      <alignment horizontal="center" vertical="center" wrapText="1" readingOrder="1"/>
    </xf>
    <xf numFmtId="0" fontId="4" fillId="0" borderId="0" xfId="0" quotePrefix="1" applyFont="1" applyAlignment="1">
      <alignment horizontal="left" vertical="center" wrapText="1"/>
    </xf>
    <xf numFmtId="0" fontId="4" fillId="0" borderId="0" xfId="0" quotePrefix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2" fillId="0" borderId="11" xfId="0" applyFont="1" applyBorder="1" applyAlignment="1">
      <alignment horizontal="center" vertical="center" wrapText="1" readingOrder="1"/>
    </xf>
    <xf numFmtId="0" fontId="31" fillId="0" borderId="11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 readingOrder="1"/>
    </xf>
    <xf numFmtId="0" fontId="32" fillId="0" borderId="0" xfId="0" applyFont="1" applyAlignment="1">
      <alignment horizontal="center" vertical="center" wrapText="1" readingOrder="1"/>
    </xf>
    <xf numFmtId="0" fontId="31" fillId="0" borderId="9" xfId="0" applyFont="1" applyBorder="1" applyAlignment="1">
      <alignment horizontal="center" vertical="center" wrapText="1" readingOrder="1"/>
    </xf>
    <xf numFmtId="0" fontId="31" fillId="0" borderId="10" xfId="0" applyFont="1" applyBorder="1" applyAlignment="1">
      <alignment horizontal="center" vertical="center" wrapText="1" readingOrder="1"/>
    </xf>
    <xf numFmtId="0" fontId="4" fillId="0" borderId="0" xfId="0" applyFont="1"/>
    <xf numFmtId="0" fontId="29" fillId="0" borderId="15" xfId="0" applyFont="1" applyBorder="1" applyAlignment="1">
      <alignment horizontal="center" vertical="center" wrapText="1" readingOrder="1"/>
    </xf>
    <xf numFmtId="0" fontId="29" fillId="0" borderId="9" xfId="0" applyFont="1" applyBorder="1" applyAlignment="1">
      <alignment horizontal="center" vertical="center" wrapText="1" readingOrder="1"/>
    </xf>
    <xf numFmtId="0" fontId="30" fillId="0" borderId="14" xfId="0" applyFont="1" applyBorder="1" applyAlignment="1">
      <alignment horizontal="left" vertical="center" wrapText="1" readingOrder="1"/>
    </xf>
    <xf numFmtId="0" fontId="29" fillId="0" borderId="18" xfId="0" applyFont="1" applyBorder="1" applyAlignment="1">
      <alignment horizontal="left" vertical="center" wrapText="1" readingOrder="1"/>
    </xf>
    <xf numFmtId="0" fontId="31" fillId="0" borderId="18" xfId="0" applyFont="1" applyBorder="1" applyAlignment="1">
      <alignment horizontal="center" vertical="center" wrapText="1" readingOrder="1"/>
    </xf>
    <xf numFmtId="0" fontId="31" fillId="0" borderId="18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left" vertical="center" wrapText="1" readingOrder="1"/>
    </xf>
    <xf numFmtId="0" fontId="31" fillId="0" borderId="15" xfId="0" applyFont="1" applyBorder="1" applyAlignment="1">
      <alignment horizontal="center" vertical="center" wrapText="1" readingOrder="1"/>
    </xf>
    <xf numFmtId="0" fontId="31" fillId="0" borderId="15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 readingOrder="1"/>
    </xf>
    <xf numFmtId="0" fontId="31" fillId="0" borderId="17" xfId="0" applyFont="1" applyBorder="1" applyAlignment="1">
      <alignment horizontal="center" vertical="center" wrapText="1" readingOrder="1"/>
    </xf>
    <xf numFmtId="0" fontId="29" fillId="0" borderId="20" xfId="0" applyFont="1" applyBorder="1" applyAlignment="1">
      <alignment horizontal="left" vertical="center" wrapText="1" readingOrder="1"/>
    </xf>
    <xf numFmtId="0" fontId="31" fillId="0" borderId="20" xfId="0" applyFont="1" applyBorder="1" applyAlignment="1">
      <alignment horizontal="center" vertical="center" wrapText="1" readingOrder="1"/>
    </xf>
    <xf numFmtId="0" fontId="31" fillId="0" borderId="21" xfId="0" applyFont="1" applyBorder="1" applyAlignment="1">
      <alignment horizontal="center" vertical="center" wrapText="1" readingOrder="1"/>
    </xf>
    <xf numFmtId="0" fontId="31" fillId="0" borderId="16" xfId="0" applyFont="1" applyBorder="1" applyAlignment="1">
      <alignment horizontal="center" vertical="center" wrapText="1" readingOrder="1"/>
    </xf>
    <xf numFmtId="170" fontId="16" fillId="0" borderId="7" xfId="4" applyNumberFormat="1" applyFill="1" applyAlignment="1">
      <alignment horizontal="right"/>
    </xf>
    <xf numFmtId="164" fontId="16" fillId="3" borderId="7" xfId="4" applyNumberFormat="1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 applyAlignment="1">
      <alignment horizontal="right" vertical="top"/>
    </xf>
    <xf numFmtId="0" fontId="34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6" fontId="33" fillId="0" borderId="0" xfId="0" applyNumberFormat="1" applyFont="1" applyAlignment="1">
      <alignment horizontal="left" vertical="center"/>
    </xf>
    <xf numFmtId="0" fontId="35" fillId="0" borderId="0" xfId="0" applyFont="1"/>
    <xf numFmtId="0" fontId="36" fillId="0" borderId="0" xfId="0" applyFont="1" applyAlignment="1">
      <alignment horizontal="right"/>
    </xf>
    <xf numFmtId="0" fontId="36" fillId="0" borderId="0" xfId="0" applyFont="1"/>
    <xf numFmtId="0" fontId="36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169" fontId="35" fillId="0" borderId="0" xfId="1" applyNumberFormat="1" applyFont="1" applyFill="1" applyBorder="1" applyAlignment="1">
      <alignment horizontal="left" vertical="center"/>
    </xf>
    <xf numFmtId="0" fontId="35" fillId="0" borderId="0" xfId="1" applyNumberFormat="1" applyFont="1" applyFill="1" applyBorder="1" applyAlignment="1">
      <alignment horizontal="left" vertical="center"/>
    </xf>
    <xf numFmtId="6" fontId="35" fillId="0" borderId="0" xfId="1" applyNumberFormat="1" applyFont="1" applyFill="1" applyBorder="1" applyAlignment="1">
      <alignment horizontal="left" vertical="center"/>
    </xf>
    <xf numFmtId="169" fontId="3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</cellXfs>
  <cellStyles count="6">
    <cellStyle name="Comma [0]" xfId="1" builtinId="6"/>
    <cellStyle name="Currency [0]" xfId="2" builtinId="7"/>
    <cellStyle name="Hyperlink" xfId="5" builtinId="8"/>
    <cellStyle name="Input" xfId="4" builtinId="20"/>
    <cellStyle name="Normal" xfId="0" builtinId="0"/>
    <cellStyle name="Percent" xfId="3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7" formatCode="0\ &quot;psi&quot;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7" formatCode="0\ &quot;psi&quot;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3F9FCC"/>
      <color rgb="FF18719A"/>
      <color rgb="FF145E7F"/>
      <color rgb="FFFFF700"/>
      <color rgb="FF10220A"/>
      <color rgb="FF101C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3635274610207"/>
          <c:y val="0"/>
          <c:w val="0.87506370899320995"/>
          <c:h val="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Steel!$B$35</c:f>
              <c:strCache>
                <c:ptCount val="1"/>
                <c:pt idx="0">
                  <c:v>Base steel</c:v>
                </c:pt>
              </c:strCache>
            </c:strRef>
          </c:tx>
          <c:spPr>
            <a:solidFill>
              <a:schemeClr val="accent4">
                <a:shade val="65000"/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6B-4E4D-8254-B4640CF33072}"/>
              </c:ext>
            </c:extLst>
          </c:dPt>
          <c:dLbls>
            <c:dLbl>
              <c:idx val="0"/>
              <c:layout>
                <c:manualLayout>
                  <c:x val="-2.4639767468424612E-2"/>
                  <c:y val="-0.15756340705892341"/>
                </c:manualLayout>
              </c:layout>
              <c:spPr>
                <a:gradFill>
                  <a:gsLst>
                    <a:gs pos="0">
                      <a:schemeClr val="accent1">
                        <a:lumMod val="5000"/>
                        <a:lumOff val="95000"/>
                        <a:alpha val="50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CL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632057529379161"/>
                      <c:h val="0.6427459830366133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B6B-4E4D-8254-B4640CF3307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0.2402694752386649"/>
                      <c:h val="0.323140831377688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B6B-4E4D-8254-B4640CF330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Steel!$C$32:$D$32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Steel!$C$35:$D$35</c:f>
              <c:numCache>
                <c:formatCode>"$"#,##0</c:formatCode>
                <c:ptCount val="2"/>
                <c:pt idx="0">
                  <c:v>15204644.128245881</c:v>
                </c:pt>
                <c:pt idx="1">
                  <c:v>15204644.128245881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5-9E46-AE45-74AE6D778E76}"/>
            </c:ext>
          </c:extLst>
        </c:ser>
        <c:ser>
          <c:idx val="1"/>
          <c:order val="1"/>
          <c:tx>
            <c:strRef>
              <c:f>Steel!$B$36</c:f>
              <c:strCache>
                <c:ptCount val="1"/>
                <c:pt idx="0">
                  <c:v>Corrosion Extra Steel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44-5F40-A307-D98753126199}"/>
              </c:ext>
            </c:extLst>
          </c:dPt>
          <c:dLbls>
            <c:dLbl>
              <c:idx val="0"/>
              <c:layout>
                <c:manualLayout>
                  <c:x val="-2.5953847028029496E-3"/>
                  <c:y val="-3.218943907787948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CL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8026457206354349"/>
                      <c:h val="0.463219415499254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A44-5F40-A307-D9875312619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389-4C49-BB30-EC1D3AA176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Steel!$C$32:$D$32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Steel!$C$36:$D$36</c:f>
              <c:numCache>
                <c:formatCode>_(* #,##0_);_(* \(#,##0\);_(* "-"_);_(@_)</c:formatCode>
                <c:ptCount val="2"/>
                <c:pt idx="0" formatCode="&quot;$&quot;#,##0">
                  <c:v>4583411.8429159541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389-4C49-BB30-EC1D3AA17624}"/>
            </c:ext>
          </c:extLst>
        </c:ser>
        <c:ser>
          <c:idx val="2"/>
          <c:order val="2"/>
          <c:tx>
            <c:strRef>
              <c:f>Steel!$C$32</c:f>
              <c:strCache>
                <c:ptCount val="1"/>
                <c:pt idx="0">
                  <c:v>Bare</c:v>
                </c:pt>
              </c:strCache>
            </c:strRef>
          </c:tx>
          <c:spPr>
            <a:solidFill>
              <a:schemeClr val="accent4">
                <a:tint val="6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Steel!$C$32:$D$32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Steel!$D$32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389-4C49-BB30-EC1D3AA176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100"/>
        <c:axId val="836053744"/>
        <c:axId val="807016959"/>
      </c:barChart>
      <c:catAx>
        <c:axId val="836053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L"/>
          </a:p>
        </c:txPr>
        <c:crossAx val="807016959"/>
        <c:crosses val="autoZero"/>
        <c:auto val="1"/>
        <c:lblAlgn val="ctr"/>
        <c:lblOffset val="0"/>
        <c:noMultiLvlLbl val="0"/>
      </c:catAx>
      <c:valAx>
        <c:axId val="807016959"/>
        <c:scaling>
          <c:orientation val="minMax"/>
          <c:max val="2000000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crossAx val="83605374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06437852210457E-2"/>
          <c:y val="6.6432702191602444E-3"/>
          <c:w val="0.90512598470598515"/>
          <c:h val="0.9767104647117751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SC!$A$6</c:f>
              <c:strCache>
                <c:ptCount val="1"/>
                <c:pt idx="0">
                  <c:v>Shop coating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F9F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6A-C04B-B648-E44A5EAA0BBC}"/>
              </c:ext>
            </c:extLst>
          </c:dPt>
          <c:dLbls>
            <c:dLbl>
              <c:idx val="0"/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2800" b="1" i="0" u="none" strike="noStrike" kern="1200" baseline="0">
                        <a:solidFill>
                          <a:schemeClr val="dk2">
                            <a:lumMod val="7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A50A58CD-EC88-9F49-81B5-F2EF3D8F2F92}" type="CELLRANGE">
                      <a:rPr lang="en-US" sz="2800" b="1" baseline="0"/>
                      <a:pPr>
                        <a:defRPr sz="2800" b="1"/>
                      </a:pPr>
                      <a:t>[CELLRANGE]</a:t>
                    </a:fld>
                    <a:endParaRPr lang="en-US" sz="2800" b="1" baseline="0"/>
                  </a:p>
                  <a:p>
                    <a:pPr>
                      <a:defRPr sz="2800" b="1"/>
                    </a:pPr>
                    <a:fld id="{D36F8B61-25CF-1B42-BC37-465C891E6BE4}" type="SERIESNAME">
                      <a:rPr lang="en-US" sz="2800" b="1" baseline="0"/>
                      <a:pPr>
                        <a:defRPr sz="2800" b="1"/>
                      </a:pPr>
                      <a:t>[SERIES NAME]</a:t>
                    </a:fld>
                    <a:endParaRPr lang="en-US"/>
                  </a:p>
                </c:rich>
              </c:tx>
              <c:numFmt formatCode="0.00%" sourceLinked="0"/>
              <c:spPr>
                <a:xfrm>
                  <a:off x="0" y="1341480"/>
                  <a:ext cx="2098896" cy="548227"/>
                </a:xfrm>
                <a:solidFill>
                  <a:sysClr val="window" lastClr="FFFFFF">
                    <a:alpha val="67000"/>
                  </a:sys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  <a:alpha val="67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2800" b="1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7934"/>
                        <a:gd name="adj2" fmla="val -42021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28912975167169"/>
                      <c:h val="0.5327652334354294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06A-C04B-B648-E44A5EAA0BBC}"/>
                </c:ext>
              </c:extLst>
            </c:dLbl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val>
            <c:numRef>
              <c:f>SC!$B$6</c:f>
              <c:numCache>
                <c:formatCode>"$"#,##0</c:formatCode>
                <c:ptCount val="1"/>
                <c:pt idx="0">
                  <c:v>1304653.1635533839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SC!$B$9</c15:f>
                <c15:dlblRangeCache>
                  <c:ptCount val="1"/>
                  <c:pt idx="0">
                    <c:v>7.9%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06A-C04B-B648-E44A5EAA0BBC}"/>
            </c:ext>
          </c:extLst>
        </c:ser>
        <c:ser>
          <c:idx val="1"/>
          <c:order val="1"/>
          <c:tx>
            <c:strRef>
              <c:f>SC!$A$7</c:f>
              <c:strCache>
                <c:ptCount val="1"/>
                <c:pt idx="0">
                  <c:v>Steel cost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4F-DC47-9034-EC54DDB0D488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800" b="1" i="0" u="none" strike="noStrike" kern="1200" baseline="0">
                        <a:solidFill>
                          <a:schemeClr val="tx2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4C5A0565-C4B4-A947-925F-AA70528C705B}" type="CELLRANGE">
                      <a:rPr lang="en-US" sz="2800" b="1" baseline="0"/>
                      <a:pPr>
                        <a:defRPr sz="2800" b="1"/>
                      </a:pPr>
                      <a:t>[CELLRANGE]</a:t>
                    </a:fld>
                    <a:endParaRPr lang="en-US" sz="2800" b="1" baseline="0"/>
                  </a:p>
                  <a:p>
                    <a:pPr>
                      <a:defRPr sz="2800" b="1"/>
                    </a:pPr>
                    <a:fld id="{6BF84FE9-8F26-0344-8C95-3CDE47DC9694}" type="SERIESNAME">
                      <a:rPr lang="en-US" sz="2800" b="1" baseline="0"/>
                      <a:pPr>
                        <a:defRPr sz="2800" b="1"/>
                      </a:pPr>
                      <a:t>[SERIES NAME]</a:t>
                    </a:fld>
                    <a:endParaRPr lang="en-US"/>
                  </a:p>
                </c:rich>
              </c:tx>
              <c:numFmt formatCode="0.0%" sourceLinked="0"/>
              <c:spPr>
                <a:solidFill>
                  <a:sysClr val="window" lastClr="FFFFFF">
                    <a:alpha val="67000"/>
                  </a:sysClr>
                </a:solidFill>
                <a:ln w="9525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1" i="0" u="none" strike="noStrike" kern="1200" baseline="0">
                      <a:solidFill>
                        <a:schemeClr val="tx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9262317939281881"/>
                      <c:h val="0.604808525648289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14F-DC47-9034-EC54DDB0D488}"/>
                </c:ext>
              </c:extLst>
            </c:dLbl>
            <c:spPr>
              <a:solidFill>
                <a:sysClr val="window" lastClr="FFFFFF">
                  <a:alpha val="67000"/>
                </a:sysClr>
              </a:solidFill>
              <a:ln w="9525">
                <a:solidFill>
                  <a:schemeClr val="accent1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val>
            <c:numRef>
              <c:f>SC!$B$7</c:f>
              <c:numCache>
                <c:formatCode>"$"#,##0</c:formatCode>
                <c:ptCount val="1"/>
                <c:pt idx="0">
                  <c:v>15204644.128245881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SC!$B$10</c15:f>
                <c15:dlblRangeCache>
                  <c:ptCount val="1"/>
                  <c:pt idx="0">
                    <c:v>92.1%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97BE-EF4E-8703-DC138473C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527415615"/>
        <c:axId val="469377968"/>
      </c:barChart>
      <c:valAx>
        <c:axId val="469377968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527415615"/>
        <c:crosses val="autoZero"/>
        <c:crossBetween val="between"/>
      </c:valAx>
      <c:catAx>
        <c:axId val="5274156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9377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4526558697102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Charts!$C$28</c:f>
              <c:strCache>
                <c:ptCount val="1"/>
                <c:pt idx="0">
                  <c:v>Extra Inhibitors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2295382445942211"/>
                      <c:h val="0.201514797680411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2-1138-DA43-8824-98E0DC7CD9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Helvetica Neue Medium" panose="02000503000000020004" pitchFamily="2" charset="0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Charts!$D$27:$E$27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Charts!$D$28:$E$28</c:f>
              <c:numCache>
                <c:formatCode>"$"#,##0.00\ "MM"</c:formatCode>
                <c:ptCount val="2"/>
                <c:pt idx="0">
                  <c:v>10.223564573747916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8-DA43-8824-98E0DC7CD9A1}"/>
            </c:ext>
          </c:extLst>
        </c:ser>
        <c:ser>
          <c:idx val="1"/>
          <c:order val="1"/>
          <c:tx>
            <c:strRef>
              <c:f>Charts!$C$29</c:f>
              <c:strCache>
                <c:ptCount val="1"/>
                <c:pt idx="0">
                  <c:v>Extra Friction Energy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4573910967773398"/>
                      <c:h val="0.2881685237146959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1138-DA43-8824-98E0DC7CD9A1}"/>
                </c:ext>
              </c:extLst>
            </c:dLbl>
            <c:dLbl>
              <c:idx val="1"/>
              <c:layout>
                <c:manualLayout>
                  <c:x val="0.16486700581614244"/>
                  <c:y val="0.14343590589332531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973401163228488"/>
                      <c:h val="0.286871811786650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E1A-9D44-A3C6-718FC13C46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Helvetica Neue Medium" panose="02000503000000020004" pitchFamily="2" charset="0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Charts!$D$27:$E$27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Charts!$D$29:$E$29</c:f>
              <c:numCache>
                <c:formatCode>"$"#,##0.00\ "MM"</c:formatCode>
                <c:ptCount val="2"/>
                <c:pt idx="0">
                  <c:v>13.007877001694776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8-DA43-8824-98E0DC7CD9A1}"/>
            </c:ext>
          </c:extLst>
        </c:ser>
        <c:ser>
          <c:idx val="2"/>
          <c:order val="2"/>
          <c:tx>
            <c:strRef>
              <c:f>Charts!$C$30</c:f>
              <c:strCache>
                <c:ptCount val="1"/>
                <c:pt idx="0">
                  <c:v>Extra Steel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257141610444545"/>
                      <c:h val="0.1370071672770630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1138-DA43-8824-98E0DC7CD9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Helvetica Neue Medium" panose="02000503000000020004" pitchFamily="2" charset="0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Charts!$D$27:$E$27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Charts!$D$30:$E$30</c:f>
              <c:numCache>
                <c:formatCode>"$"#,##0.00\ "MM"</c:formatCode>
                <c:ptCount val="2"/>
                <c:pt idx="0">
                  <c:v>5.8697049470408764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38-DA43-8824-98E0DC7CD9A1}"/>
            </c:ext>
          </c:extLst>
        </c:ser>
        <c:ser>
          <c:idx val="3"/>
          <c:order val="3"/>
          <c:tx>
            <c:strRef>
              <c:f>Charts!$C$31</c:f>
              <c:strCache>
                <c:ptCount val="1"/>
                <c:pt idx="0">
                  <c:v>Joint Field Coating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42059032265102331"/>
                      <c:h val="0.131669527940278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E1A-9D44-A3C6-718FC13C46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Helvetica Neue Medium" panose="02000503000000020004" pitchFamily="2" charset="0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Charts!$D$27:$E$27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Charts!$D$31:$E$31</c:f>
              <c:numCache>
                <c:formatCode>"$"#,##0.00\ "MM"</c:formatCode>
                <c:ptCount val="2"/>
                <c:pt idx="1">
                  <c:v>8.3339999999999996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38-DA43-8824-98E0DC7CD9A1}"/>
            </c:ext>
          </c:extLst>
        </c:ser>
        <c:ser>
          <c:idx val="4"/>
          <c:order val="4"/>
          <c:tx>
            <c:strRef>
              <c:f>Charts!$C$32</c:f>
              <c:strCache>
                <c:ptCount val="1"/>
                <c:pt idx="0">
                  <c:v>Extra Inspections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42325279356674339"/>
                      <c:h val="0.1374272431001673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E1A-9D44-A3C6-718FC13C464C}"/>
                </c:ext>
              </c:extLst>
            </c:dLbl>
            <c:spPr>
              <a:noFill/>
              <a:ln w="3175"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Helvetica Neue Medium" panose="02000503000000020004" pitchFamily="2" charset="0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Charts!$D$27:$E$27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Charts!$D$32:$E$32</c:f>
              <c:numCache>
                <c:formatCode>"$"#,##0.00\ "MM"</c:formatCode>
                <c:ptCount val="2"/>
                <c:pt idx="0">
                  <c:v>3.630816007291743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38-DA43-8824-98E0DC7CD9A1}"/>
            </c:ext>
          </c:extLst>
        </c:ser>
        <c:ser>
          <c:idx val="5"/>
          <c:order val="5"/>
          <c:tx>
            <c:strRef>
              <c:f>Charts!$C$33</c:f>
              <c:strCache>
                <c:ptCount val="1"/>
                <c:pt idx="0">
                  <c:v>Shop Coating</c:v>
                </c:pt>
              </c:strCache>
            </c:strRef>
          </c:tx>
          <c:spPr>
            <a:solidFill>
              <a:schemeClr val="accent4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noFill/>
                <a:ln w="3175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Helvetica Neue Medium" panose="02000503000000020004" pitchFamily="2" charset="0"/>
                      <a:cs typeface="Times New Roman" panose="02020603050405020304" pitchFamily="18" charset="0"/>
                    </a:defRPr>
                  </a:pPr>
                  <a:endParaRPr lang="en-CL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48295408891976271"/>
                      <c:h val="0.136044622629060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1808-4749-99AC-833ED213AB13}"/>
                </c:ext>
              </c:extLst>
            </c:dLbl>
            <c:spPr>
              <a:noFill/>
              <a:ln w="3175"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Helvetica Neue Medium" panose="02000503000000020004" pitchFamily="2" charset="0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Charts!$D$27:$E$27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Charts!$D$33:$E$33</c:f>
              <c:numCache>
                <c:formatCode>"$"#,##0.00\ "MM"</c:formatCode>
                <c:ptCount val="2"/>
                <c:pt idx="1">
                  <c:v>1.304653163553384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38-DA43-8824-98E0DC7CD9A1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100"/>
        <c:axId val="792460480"/>
        <c:axId val="792462192"/>
      </c:barChart>
      <c:catAx>
        <c:axId val="79246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Helvetica Neue Medium" panose="02000503000000020004" pitchFamily="2" charset="0"/>
                <a:cs typeface="Times New Roman" panose="02020603050405020304" pitchFamily="18" charset="0"/>
              </a:defRPr>
            </a:pPr>
            <a:endParaRPr lang="en-CL"/>
          </a:p>
        </c:txPr>
        <c:crossAx val="792462192"/>
        <c:crosses val="autoZero"/>
        <c:auto val="0"/>
        <c:lblAlgn val="ctr"/>
        <c:lblOffset val="0"/>
        <c:noMultiLvlLbl val="0"/>
      </c:catAx>
      <c:valAx>
        <c:axId val="79246219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.00\ &quot;MM&quot;" sourceLinked="1"/>
        <c:majorTickMark val="none"/>
        <c:minorTickMark val="none"/>
        <c:tickLblPos val="none"/>
        <c:crossAx val="79246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 b="0" i="0">
          <a:solidFill>
            <a:schemeClr val="bg1"/>
          </a:solidFill>
          <a:latin typeface="Times New Roman" panose="02020603050405020304" pitchFamily="18" charset="0"/>
          <a:ea typeface="Helvetica Neue Medium" panose="02000503000000020004" pitchFamily="2" charset="0"/>
          <a:cs typeface="Times New Roman" panose="02020603050405020304" pitchFamily="18" charset="0"/>
        </a:defRPr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60756</xdr:colOff>
      <xdr:row>2</xdr:row>
      <xdr:rowOff>27354</xdr:rowOff>
    </xdr:from>
    <xdr:to>
      <xdr:col>11</xdr:col>
      <xdr:colOff>189909</xdr:colOff>
      <xdr:row>7</xdr:row>
      <xdr:rowOff>27354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13852-5239-8D61-7CB3-25CDAF380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6690" y="432079"/>
          <a:ext cx="3932176" cy="1011813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  <xdr:twoCellAnchor>
    <xdr:from>
      <xdr:col>5</xdr:col>
      <xdr:colOff>100204</xdr:colOff>
      <xdr:row>22</xdr:row>
      <xdr:rowOff>169894</xdr:rowOff>
    </xdr:from>
    <xdr:to>
      <xdr:col>11</xdr:col>
      <xdr:colOff>610716</xdr:colOff>
      <xdr:row>30</xdr:row>
      <xdr:rowOff>69781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DA081-1246-BF31-1B4E-FC2B111F1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448851</xdr:colOff>
      <xdr:row>35</xdr:row>
      <xdr:rowOff>89118</xdr:rowOff>
    </xdr:from>
    <xdr:to>
      <xdr:col>13</xdr:col>
      <xdr:colOff>583772</xdr:colOff>
      <xdr:row>41</xdr:row>
      <xdr:rowOff>44417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BA5252-57E0-030D-589E-48AFF9A2F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04737" y="7122346"/>
          <a:ext cx="6267895" cy="11609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186266</xdr:colOff>
      <xdr:row>10</xdr:row>
      <xdr:rowOff>110066</xdr:rowOff>
    </xdr:from>
    <xdr:to>
      <xdr:col>11</xdr:col>
      <xdr:colOff>626532</xdr:colOff>
      <xdr:row>23</xdr:row>
      <xdr:rowOff>84665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ADF4C5-B38A-D267-8190-16168E767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656167</xdr:colOff>
      <xdr:row>0</xdr:row>
      <xdr:rowOff>47977</xdr:rowOff>
    </xdr:from>
    <xdr:to>
      <xdr:col>6</xdr:col>
      <xdr:colOff>688622</xdr:colOff>
      <xdr:row>4</xdr:row>
      <xdr:rowOff>158044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08F4A9-69D0-2D6E-E4FD-0D03A8E74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2100" y="47977"/>
          <a:ext cx="3419122" cy="9059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626533</xdr:colOff>
      <xdr:row>0</xdr:row>
      <xdr:rowOff>143933</xdr:rowOff>
    </xdr:from>
    <xdr:to>
      <xdr:col>20</xdr:col>
      <xdr:colOff>277603</xdr:colOff>
      <xdr:row>22</xdr:row>
      <xdr:rowOff>160866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F9ADC8-D688-EBD3-AC6F-3DD3B62AD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4333" y="143933"/>
          <a:ext cx="12097070" cy="4487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7920</xdr:colOff>
      <xdr:row>16</xdr:row>
      <xdr:rowOff>82177</xdr:rowOff>
    </xdr:from>
    <xdr:to>
      <xdr:col>4</xdr:col>
      <xdr:colOff>471543</xdr:colOff>
      <xdr:row>35</xdr:row>
      <xdr:rowOff>132878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BA931B-AED7-C10C-5AF0-5A63E7D8A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7155" y="3541059"/>
          <a:ext cx="4161564" cy="3883113"/>
        </a:xfrm>
        <a:prstGeom prst="rect">
          <a:avLst/>
        </a:prstGeom>
      </xdr:spPr>
    </xdr:pic>
    <xdr:clientData/>
  </xdr:twoCellAnchor>
  <xdr:twoCellAnchor editAs="oneCell">
    <xdr:from>
      <xdr:col>0</xdr:col>
      <xdr:colOff>732566</xdr:colOff>
      <xdr:row>36</xdr:row>
      <xdr:rowOff>142472</xdr:rowOff>
    </xdr:from>
    <xdr:to>
      <xdr:col>4</xdr:col>
      <xdr:colOff>186765</xdr:colOff>
      <xdr:row>45</xdr:row>
      <xdr:rowOff>179260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82A6F6-89B7-989B-7331-03F09CAAF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566" y="7635472"/>
          <a:ext cx="3981375" cy="18521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1</xdr:rowOff>
    </xdr:from>
    <xdr:to>
      <xdr:col>4</xdr:col>
      <xdr:colOff>52295</xdr:colOff>
      <xdr:row>51</xdr:row>
      <xdr:rowOff>46654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F754CE-9747-BCE5-9BD0-87AE487C3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9235" y="9510060"/>
          <a:ext cx="3750236" cy="1055182"/>
        </a:xfrm>
        <a:prstGeom prst="rect">
          <a:avLst/>
        </a:prstGeom>
      </xdr:spPr>
    </xdr:pic>
    <xdr:clientData/>
  </xdr:twoCellAnchor>
  <xdr:twoCellAnchor editAs="oneCell">
    <xdr:from>
      <xdr:col>1</xdr:col>
      <xdr:colOff>14942</xdr:colOff>
      <xdr:row>51</xdr:row>
      <xdr:rowOff>66086</xdr:rowOff>
    </xdr:from>
    <xdr:to>
      <xdr:col>4</xdr:col>
      <xdr:colOff>291354</xdr:colOff>
      <xdr:row>70</xdr:row>
      <xdr:rowOff>55167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DF79D7F-CDD6-0839-0083-D52160B45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4177" y="10584674"/>
          <a:ext cx="3974353" cy="382149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28222</xdr:colOff>
      <xdr:row>1</xdr:row>
      <xdr:rowOff>21166</xdr:rowOff>
    </xdr:from>
    <xdr:to>
      <xdr:col>11</xdr:col>
      <xdr:colOff>92080</xdr:colOff>
      <xdr:row>9</xdr:row>
      <xdr:rowOff>105292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4DC09A-1B16-34CD-8AB1-4BA46F0C1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5389" y="183444"/>
          <a:ext cx="3274136" cy="1375834"/>
        </a:xfrm>
        <a:prstGeom prst="rect">
          <a:avLst/>
        </a:prstGeom>
      </xdr:spPr>
    </xdr:pic>
    <xdr:clientData/>
  </xdr:twoCellAnchor>
  <xdr:twoCellAnchor editAs="oneCell">
    <xdr:from>
      <xdr:col>11</xdr:col>
      <xdr:colOff>204611</xdr:colOff>
      <xdr:row>1</xdr:row>
      <xdr:rowOff>12846</xdr:rowOff>
    </xdr:from>
    <xdr:to>
      <xdr:col>16</xdr:col>
      <xdr:colOff>222057</xdr:colOff>
      <xdr:row>11</xdr:row>
      <xdr:rowOff>128215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B20CBB-822C-70A6-A819-410E0DAD8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62055" y="175124"/>
          <a:ext cx="3153834" cy="1731634"/>
        </a:xfrm>
        <a:prstGeom prst="rect">
          <a:avLst/>
        </a:prstGeom>
      </xdr:spPr>
    </xdr:pic>
    <xdr:clientData/>
  </xdr:twoCellAnchor>
  <xdr:twoCellAnchor editAs="oneCell">
    <xdr:from>
      <xdr:col>15</xdr:col>
      <xdr:colOff>599723</xdr:colOff>
      <xdr:row>1</xdr:row>
      <xdr:rowOff>14111</xdr:rowOff>
    </xdr:from>
    <xdr:to>
      <xdr:col>21</xdr:col>
      <xdr:colOff>225780</xdr:colOff>
      <xdr:row>10</xdr:row>
      <xdr:rowOff>22343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B53C9A-1DDF-7BE0-F8C6-2ABAF93E3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93501" y="176389"/>
          <a:ext cx="3309056" cy="14534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1454649</xdr:colOff>
      <xdr:row>33</xdr:row>
      <xdr:rowOff>1642</xdr:rowOff>
    </xdr:from>
    <xdr:to>
      <xdr:col>6</xdr:col>
      <xdr:colOff>555191</xdr:colOff>
      <xdr:row>60</xdr:row>
      <xdr:rowOff>152676</xdr:rowOff>
    </xdr:to>
    <xdr:graphicFrame macro="">
      <xdr:nvGraphicFramePr>
        <xdr:cNvPr id="8" name="difference">
          <a:extLst>
            <a:ext uri="{FF2B5EF4-FFF2-40B4-BE49-F238E27FC236}">
              <a16:creationId xmlns:a16="http://schemas.microsoft.com/office/drawing/2014/main" id="{93F35EA6-CA73-E531-508A-6767495BF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gna/Dropbox/Victaulic/MS%20Office/XLS/Pipeline%20&#183;%20FBE%20&#183;%20X07%20&#183;%20Barlow.xlsx" TargetMode="External"/><Relationship Id="rId1" Type="http://schemas.openxmlformats.org/officeDocument/2006/relationships/externalLinkPath" Target="/Users/igna/Dropbox/Victaulic/MS%20Office/XLS/Pipeline%20&#183;%20FBE%20&#183;%20X07%20&#183;%20Barlo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OP"/>
      <sheetName val="Barlow"/>
      <sheetName val="Price"/>
      <sheetName val="Amit Projects"/>
      <sheetName val="FBE or not to FBE"/>
      <sheetName val="Example"/>
      <sheetName val="TEA rejection"/>
      <sheetName val="Pipeline"/>
    </sheetNames>
    <sheetDataSet>
      <sheetData sheetId="0">
        <row r="3">
          <cell r="C3">
            <v>0.125</v>
          </cell>
        </row>
        <row r="4">
          <cell r="C4">
            <v>0.72</v>
          </cell>
        </row>
        <row r="5">
          <cell r="C5">
            <v>482.75862068965517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BC9FAD-8A29-924B-BACA-ABE1DA10BC53}" name="Table1" displayName="Table1" ref="B3:D9" totalsRowShown="0" headerRowDxfId="14" dataDxfId="13">
  <autoFilter ref="B3:D9" xr:uid="{EEF4B6F8-B035-0948-9C2F-F8F9B1F6D853}"/>
  <tableColumns count="3">
    <tableColumn id="1" xr3:uid="{4223AF50-317A-4E4F-AD48-9EC4131277A1}" name="Instalación" dataDxfId="12"/>
    <tableColumn id="2" xr3:uid="{5B60AC37-8F81-B246-A80F-AEE2EAC22263}" name="psi" dataDxfId="11">
      <calculatedColumnFormula>G4*0.145038</calculatedColumnFormula>
    </tableColumn>
    <tableColumn id="3" xr3:uid="{82AF04C3-C3CE-F14B-BAF9-7AF3841EFD5F}" name="Ubicación Longitudinal (km)" dataDxfId="1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D05297-0071-064E-BB47-FFC75091AF70}" name="Table2" displayName="Table2" ref="B11:D16" totalsRowShown="0" headerRowDxfId="9" dataDxfId="8">
  <autoFilter ref="B11:D16" xr:uid="{A82A7B7B-2DD2-A048-AB41-7EB5442B34A2}"/>
  <tableColumns count="3">
    <tableColumn id="1" xr3:uid="{DDA3747E-FAF2-7440-9C1C-51712E42AA65}" name="Instalación" dataDxfId="7"/>
    <tableColumn id="2" xr3:uid="{F736D024-0696-FC41-9FD0-E42A5716B0F6}" name="max pressure" dataDxfId="6">
      <calculatedColumnFormula>H12*0.145038</calculatedColumnFormula>
    </tableColumn>
    <tableColumn id="3" xr3:uid="{41A8A8E5-FAA1-CC48-A0C4-C0BC1F11B74C}" name="Ubicación Longitudinal (km)" dataDxfId="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3C3669-7D83-A943-92ED-BB9613B213E9}" name="Table4" displayName="Table4" ref="B18:D27" totalsRowShown="0" headerRowDxfId="4" dataDxfId="3">
  <autoFilter ref="B18:D27" xr:uid="{9CFB23CB-7A14-9948-BCFA-ED54685E430C}"/>
  <tableColumns count="3">
    <tableColumn id="1" xr3:uid="{036ECB84-A68C-A041-AE66-AD7548880326}" name="Parámetro" dataDxfId="2"/>
    <tableColumn id="2" xr3:uid="{900F0122-750E-2840-924D-7A214F2C9055}" name="Unidad" dataDxfId="1"/>
    <tableColumn id="3" xr3:uid="{B79EACA7-12BF-274A-9E7C-D69163D885A6}" name="Valor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dtic.mil/sti/tr/pdf/ADA194321.pdf" TargetMode="External"/><Relationship Id="rId2" Type="http://schemas.openxmlformats.org/officeDocument/2006/relationships/hyperlink" Target="https://www.pipeflow.com/pipe-pressure-drop-calculations/pipe-roughness" TargetMode="External"/><Relationship Id="rId1" Type="http://schemas.openxmlformats.org/officeDocument/2006/relationships/hyperlink" Target="https://www.imia.com/wp-content/uploads/2023/08/IMIA-WGP-126-22-Coating-Failures.pdf" TargetMode="External"/><Relationship Id="rId5" Type="http://schemas.openxmlformats.org/officeDocument/2006/relationships/hyperlink" Target="https://nepis.epa.gov/Exe/ZyPURL.cgi?Dockey=10003FIW.TXT" TargetMode="External"/><Relationship Id="rId4" Type="http://schemas.openxmlformats.org/officeDocument/2006/relationships/hyperlink" Target="https://www.steelmains.com/files/TWT%2015140%20Comparison%20of%20Sintakote%20vs%20Epoxy%20coatings%20on%20steel%20water%20pipe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sankeymatic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804B6-E255-0D47-B4C0-0EFB54D89CFA}">
  <dimension ref="A2:J36"/>
  <sheetViews>
    <sheetView zoomScale="180" zoomScaleNormal="180" workbookViewId="0">
      <pane ySplit="2" topLeftCell="A3" activePane="bottomLeft" state="frozen"/>
      <selection activeCell="B1" sqref="B1"/>
      <selection pane="bottomLeft" activeCell="C12" sqref="C12"/>
    </sheetView>
  </sheetViews>
  <sheetFormatPr baseColWidth="10" defaultRowHeight="16"/>
  <cols>
    <col min="1" max="1" width="28" customWidth="1"/>
    <col min="2" max="2" width="26.33203125" bestFit="1" customWidth="1"/>
    <col min="3" max="3" width="8.1640625" bestFit="1" customWidth="1"/>
    <col min="5" max="5" width="11" customWidth="1"/>
    <col min="9" max="9" width="10.83203125" customWidth="1"/>
  </cols>
  <sheetData>
    <row r="2" spans="1:10">
      <c r="A2" s="71" t="s">
        <v>125</v>
      </c>
      <c r="B2" s="127" t="s">
        <v>124</v>
      </c>
      <c r="C2" s="146" t="s">
        <v>24</v>
      </c>
      <c r="D2" s="146" t="s">
        <v>23</v>
      </c>
      <c r="E2" s="146" t="s">
        <v>136</v>
      </c>
      <c r="F2" s="146" t="s">
        <v>139</v>
      </c>
      <c r="G2" s="127" t="s">
        <v>238</v>
      </c>
      <c r="H2" s="127" t="s">
        <v>239</v>
      </c>
      <c r="I2" s="127" t="s">
        <v>227</v>
      </c>
      <c r="J2" s="127" t="s">
        <v>228</v>
      </c>
    </row>
    <row r="3" spans="1:10">
      <c r="A3" t="str">
        <f t="shared" ref="A3:A34" si="0">_xlfn.REGEXREPLACE(_xlfn.REGEXREPLACE(_xlfn.REGEXREPLACE(_xlfn.REGEXREPLACE(_xlfn.REGEXREPLACE(_xlfn.REGEXREPLACE(LOWER(B3&amp;IF(E3,"","_"&amp;D3)),"(³)","3"),"[ /]","_"),"\$","usd"),"year","yr"),"%","percent"),"²","2")</f>
        <v>pipeline_length</v>
      </c>
      <c r="B3" t="s">
        <v>138</v>
      </c>
      <c r="C3" s="126">
        <v>100000</v>
      </c>
      <c r="D3" t="s">
        <v>2</v>
      </c>
      <c r="E3" t="b">
        <v>1</v>
      </c>
      <c r="F3" t="b">
        <v>1</v>
      </c>
    </row>
    <row r="4" spans="1:10">
      <c r="A4" t="str">
        <f t="shared" si="0"/>
        <v>pipeline_length_km</v>
      </c>
      <c r="B4" t="s">
        <v>138</v>
      </c>
      <c r="C4" s="141">
        <f>pipeline_length/1000</f>
        <v>100</v>
      </c>
      <c r="D4" t="s">
        <v>0</v>
      </c>
      <c r="E4" t="b">
        <v>0</v>
      </c>
      <c r="F4" t="b">
        <v>0</v>
      </c>
    </row>
    <row r="5" spans="1:10">
      <c r="A5" t="str">
        <f t="shared" si="0"/>
        <v>elevation_change</v>
      </c>
      <c r="B5" t="s">
        <v>142</v>
      </c>
      <c r="C5" s="126">
        <v>1000</v>
      </c>
      <c r="D5" t="s">
        <v>2</v>
      </c>
      <c r="E5" t="b">
        <v>1</v>
      </c>
      <c r="F5" t="b">
        <v>1</v>
      </c>
    </row>
    <row r="6" spans="1:10">
      <c r="A6" t="str">
        <f t="shared" si="0"/>
        <v>segment_length</v>
      </c>
      <c r="B6" t="s">
        <v>128</v>
      </c>
      <c r="C6" s="126">
        <v>12</v>
      </c>
      <c r="D6" t="s">
        <v>2</v>
      </c>
      <c r="E6" t="b">
        <v>1</v>
      </c>
      <c r="F6" t="b">
        <v>1</v>
      </c>
    </row>
    <row r="7" spans="1:10">
      <c r="A7" t="str">
        <f t="shared" si="0"/>
        <v>outside_diameter_inches</v>
      </c>
      <c r="B7" t="s">
        <v>127</v>
      </c>
      <c r="C7" s="126">
        <v>28</v>
      </c>
      <c r="D7" t="s">
        <v>8</v>
      </c>
      <c r="E7" t="b">
        <v>0</v>
      </c>
      <c r="F7" t="b">
        <v>1</v>
      </c>
    </row>
    <row r="8" spans="1:10">
      <c r="A8" t="str">
        <f t="shared" si="0"/>
        <v>outside_diameter</v>
      </c>
      <c r="B8" t="s">
        <v>127</v>
      </c>
      <c r="C8">
        <f>CONVERT(outside_diameter_inches,"in","m")</f>
        <v>0.71120000000000005</v>
      </c>
      <c r="D8" t="s">
        <v>2</v>
      </c>
      <c r="E8" t="b">
        <v>1</v>
      </c>
      <c r="F8" t="b">
        <v>0</v>
      </c>
    </row>
    <row r="9" spans="1:10">
      <c r="A9" t="str">
        <f t="shared" si="0"/>
        <v>wall_corrosion_rate_mm_yr</v>
      </c>
      <c r="B9" t="s">
        <v>146</v>
      </c>
      <c r="C9" s="126">
        <v>0.15</v>
      </c>
      <c r="D9" t="s">
        <v>15</v>
      </c>
      <c r="E9" t="b">
        <v>0</v>
      </c>
      <c r="F9" t="b">
        <v>1</v>
      </c>
      <c r="G9" s="147" t="s">
        <v>235</v>
      </c>
      <c r="H9" s="147"/>
      <c r="J9" t="s">
        <v>237</v>
      </c>
    </row>
    <row r="10" spans="1:10">
      <c r="A10" t="str">
        <f t="shared" si="0"/>
        <v>fbe_wall__yr_1_mm</v>
      </c>
      <c r="B10" t="s">
        <v>134</v>
      </c>
      <c r="C10" s="126">
        <v>9.5299999999999994</v>
      </c>
      <c r="D10" t="s">
        <v>10</v>
      </c>
      <c r="E10" t="b">
        <v>0</v>
      </c>
      <c r="F10" t="b">
        <v>1</v>
      </c>
    </row>
    <row r="11" spans="1:10">
      <c r="A11" t="str">
        <f t="shared" si="0"/>
        <v>bare_wall__yr_1_mm</v>
      </c>
      <c r="B11" t="s">
        <v>135</v>
      </c>
      <c r="C11">
        <f>fbe_wall__yr_1_mm+wall_corrosion_rate_mm_yr*25</f>
        <v>13.28</v>
      </c>
      <c r="D11" t="s">
        <v>10</v>
      </c>
      <c r="E11" t="b">
        <v>0</v>
      </c>
      <c r="F11" t="b">
        <v>0</v>
      </c>
    </row>
    <row r="12" spans="1:10">
      <c r="A12" t="s">
        <v>423</v>
      </c>
      <c r="C12">
        <f>bare_wall__yr_1_mm-fbe_wall__yr_1_mm</f>
        <v>3.75</v>
      </c>
      <c r="D12" t="s">
        <v>10</v>
      </c>
    </row>
    <row r="13" spans="1:10">
      <c r="A13" t="str">
        <f t="shared" si="0"/>
        <v>bare_inside_diameter_yr_1</v>
      </c>
      <c r="B13" t="s">
        <v>143</v>
      </c>
      <c r="C13">
        <f>outside_diameter-bare_wall__yr_1_mm/1000*2</f>
        <v>0.68464000000000003</v>
      </c>
      <c r="D13" t="s">
        <v>2</v>
      </c>
      <c r="E13" t="b">
        <v>1</v>
      </c>
      <c r="F13" t="b">
        <v>0</v>
      </c>
    </row>
    <row r="14" spans="1:10">
      <c r="A14" t="str">
        <f t="shared" si="0"/>
        <v>fbe_inside_diameter_yr_1</v>
      </c>
      <c r="B14" t="s">
        <v>144</v>
      </c>
      <c r="C14">
        <f>outside_diameter-fbe_wall__yr_1_mm/1000*2</f>
        <v>0.69214000000000009</v>
      </c>
      <c r="D14" t="s">
        <v>2</v>
      </c>
      <c r="E14" t="b">
        <v>1</v>
      </c>
      <c r="F14" t="b">
        <v>0</v>
      </c>
    </row>
    <row r="15" spans="1:10">
      <c r="A15" t="str">
        <f t="shared" si="0"/>
        <v>design_flow_rate_l_s</v>
      </c>
      <c r="B15" t="s">
        <v>3</v>
      </c>
      <c r="C15" s="126">
        <v>700</v>
      </c>
      <c r="D15" t="s">
        <v>4</v>
      </c>
      <c r="E15" t="b">
        <v>0</v>
      </c>
      <c r="F15" t="b">
        <v>1</v>
      </c>
    </row>
    <row r="16" spans="1:10">
      <c r="A16" t="str">
        <f t="shared" si="0"/>
        <v>design_flow_rate_m3_s</v>
      </c>
      <c r="B16" t="s">
        <v>3</v>
      </c>
      <c r="C16">
        <f>design_flow_rate_l_s/1000</f>
        <v>0.7</v>
      </c>
      <c r="D16" t="s">
        <v>5</v>
      </c>
      <c r="E16" t="b">
        <v>0</v>
      </c>
      <c r="F16" t="b">
        <v>0</v>
      </c>
    </row>
    <row r="17" spans="1:10">
      <c r="A17" t="str">
        <f t="shared" si="0"/>
        <v>x70_steel_density</v>
      </c>
      <c r="B17" t="s">
        <v>126</v>
      </c>
      <c r="C17" s="126">
        <v>7850</v>
      </c>
      <c r="D17" t="s">
        <v>7</v>
      </c>
      <c r="E17" t="b">
        <v>1</v>
      </c>
      <c r="F17" t="b">
        <v>1</v>
      </c>
    </row>
    <row r="18" spans="1:10">
      <c r="A18" t="str">
        <f t="shared" si="0"/>
        <v>fluid_density</v>
      </c>
      <c r="B18" t="s">
        <v>147</v>
      </c>
      <c r="C18" s="126">
        <v>1030</v>
      </c>
      <c r="D18" t="s">
        <v>7</v>
      </c>
      <c r="E18" t="b">
        <v>1</v>
      </c>
      <c r="F18" t="b">
        <v>1</v>
      </c>
    </row>
    <row r="19" spans="1:10">
      <c r="A19" t="str">
        <f t="shared" si="0"/>
        <v>dynamic_viscosity_of_water</v>
      </c>
      <c r="B19" t="s">
        <v>106</v>
      </c>
      <c r="C19" s="126">
        <v>1.2999999999999999E-3</v>
      </c>
      <c r="D19" t="s">
        <v>84</v>
      </c>
      <c r="E19" t="b">
        <v>1</v>
      </c>
      <c r="F19" t="b">
        <v>1</v>
      </c>
    </row>
    <row r="20" spans="1:10">
      <c r="A20" t="str">
        <f t="shared" ref="A20" si="1">_xlfn.REGEXREPLACE(_xlfn.REGEXREPLACE(_xlfn.REGEXREPLACE(_xlfn.REGEXREPLACE(_xlfn.REGEXREPLACE(_xlfn.REGEXREPLACE(LOWER(B20&amp;IF(E20,"","_"&amp;D20)),"(³)","3"),"[ /]","_"),"\$","usd"),"year","yr"),"%","percent"),"²","2")</f>
        <v>roughness_bare_yr_1_mm</v>
      </c>
      <c r="B20" t="s">
        <v>132</v>
      </c>
      <c r="C20" s="145">
        <v>6.8000000000000005E-2</v>
      </c>
      <c r="D20" t="s">
        <v>10</v>
      </c>
      <c r="E20" t="b">
        <v>0</v>
      </c>
      <c r="F20" t="b">
        <v>0</v>
      </c>
      <c r="G20" s="147" t="s">
        <v>232</v>
      </c>
      <c r="H20" s="147"/>
      <c r="I20">
        <v>6.8000000000000005E-2</v>
      </c>
      <c r="J20" t="s">
        <v>225</v>
      </c>
    </row>
    <row r="21" spans="1:10">
      <c r="A21" t="str">
        <f t="shared" si="0"/>
        <v>roughness_bare_yr_25_mm</v>
      </c>
      <c r="B21" t="s">
        <v>133</v>
      </c>
      <c r="C21" s="145">
        <v>0.72</v>
      </c>
      <c r="D21" t="s">
        <v>10</v>
      </c>
      <c r="E21" t="b">
        <v>0</v>
      </c>
      <c r="F21" t="b">
        <v>0</v>
      </c>
      <c r="G21" s="147" t="s">
        <v>233</v>
      </c>
      <c r="H21" s="147"/>
      <c r="I21">
        <v>0.72</v>
      </c>
      <c r="J21" t="s">
        <v>226</v>
      </c>
    </row>
    <row r="22" spans="1:10">
      <c r="A22" t="str">
        <f t="shared" si="0"/>
        <v>roughness_fbe_yr_1_mm</v>
      </c>
      <c r="B22" t="s">
        <v>130</v>
      </c>
      <c r="C22" s="145">
        <v>1.4999999999999999E-2</v>
      </c>
      <c r="D22" t="s">
        <v>10</v>
      </c>
      <c r="E22" t="b">
        <v>0</v>
      </c>
      <c r="F22" t="b">
        <v>0</v>
      </c>
      <c r="G22" s="147" t="s">
        <v>234</v>
      </c>
      <c r="H22" s="147"/>
      <c r="J22" t="s">
        <v>229</v>
      </c>
    </row>
    <row r="23" spans="1:10">
      <c r="A23" t="str">
        <f t="shared" si="0"/>
        <v>roughness_fbe_yr_25_mm</v>
      </c>
      <c r="B23" t="s">
        <v>131</v>
      </c>
      <c r="C23" s="145">
        <v>3.5000000000000003E-2</v>
      </c>
      <c r="D23" t="s">
        <v>10</v>
      </c>
      <c r="E23" t="b">
        <v>0</v>
      </c>
      <c r="F23" t="b">
        <v>0</v>
      </c>
      <c r="G23" s="147" t="s">
        <v>230</v>
      </c>
      <c r="H23" s="147"/>
      <c r="J23" t="s">
        <v>231</v>
      </c>
    </row>
    <row r="24" spans="1:10">
      <c r="A24" t="str">
        <f t="shared" si="0"/>
        <v>interior_fbe_thickness_µm</v>
      </c>
      <c r="B24" t="s">
        <v>68</v>
      </c>
      <c r="C24" s="140">
        <v>500</v>
      </c>
      <c r="D24" t="s">
        <v>241</v>
      </c>
      <c r="E24" t="b">
        <v>0</v>
      </c>
      <c r="F24" t="b">
        <v>0</v>
      </c>
      <c r="G24" t="s">
        <v>224</v>
      </c>
    </row>
    <row r="25" spans="1:10">
      <c r="A25" t="str">
        <f t="shared" si="0"/>
        <v>service_life_yr</v>
      </c>
      <c r="B25" t="s">
        <v>145</v>
      </c>
      <c r="C25" s="126">
        <v>25</v>
      </c>
      <c r="D25" t="s">
        <v>140</v>
      </c>
      <c r="E25" t="b">
        <v>0</v>
      </c>
      <c r="F25" t="b">
        <v>1</v>
      </c>
    </row>
    <row r="26" spans="1:10">
      <c r="A26" t="str">
        <f t="shared" si="0"/>
        <v>annual_hours_of_operation_h_yr</v>
      </c>
      <c r="B26" t="s">
        <v>81</v>
      </c>
      <c r="C26" s="140">
        <v>8400</v>
      </c>
      <c r="D26" t="s">
        <v>11</v>
      </c>
      <c r="E26" t="b">
        <v>0</v>
      </c>
      <c r="F26" t="b">
        <v>1</v>
      </c>
    </row>
    <row r="27" spans="1:10">
      <c r="A27" t="str">
        <f t="shared" si="0"/>
        <v>pump_efficiency_percent</v>
      </c>
      <c r="B27" t="s">
        <v>14</v>
      </c>
      <c r="C27" s="140">
        <v>82</v>
      </c>
      <c r="D27" t="s">
        <v>22</v>
      </c>
      <c r="E27" t="b">
        <v>0</v>
      </c>
      <c r="F27" t="b">
        <v>1</v>
      </c>
    </row>
    <row r="28" spans="1:10">
      <c r="A28" t="str">
        <f t="shared" si="0"/>
        <v>pump_efficiency</v>
      </c>
      <c r="B28" t="s">
        <v>14</v>
      </c>
      <c r="C28" s="102">
        <v>0.82</v>
      </c>
      <c r="E28" t="b">
        <v>1</v>
      </c>
      <c r="F28" t="b">
        <v>0</v>
      </c>
    </row>
    <row r="29" spans="1:10">
      <c r="A29" t="str">
        <f t="shared" si="0"/>
        <v>annual_discount_rate_percent</v>
      </c>
      <c r="B29" t="s">
        <v>67</v>
      </c>
      <c r="C29" s="126">
        <v>10</v>
      </c>
      <c r="D29" t="s">
        <v>22</v>
      </c>
      <c r="E29" t="b">
        <v>0</v>
      </c>
      <c r="F29" t="b">
        <v>1</v>
      </c>
    </row>
    <row r="30" spans="1:10">
      <c r="A30" t="str">
        <f t="shared" si="0"/>
        <v>annual_discount_rate</v>
      </c>
      <c r="B30" t="s">
        <v>67</v>
      </c>
      <c r="C30">
        <f>annual_discount_rate_percent/100</f>
        <v>0.1</v>
      </c>
      <c r="D30" t="s">
        <v>22</v>
      </c>
      <c r="E30" t="b">
        <v>1</v>
      </c>
      <c r="F30" t="b">
        <v>0</v>
      </c>
    </row>
    <row r="31" spans="1:10">
      <c r="A31" t="str">
        <f t="shared" si="0"/>
        <v>hrc_price_usd_t</v>
      </c>
      <c r="B31" t="s">
        <v>129</v>
      </c>
      <c r="C31" s="126">
        <v>470</v>
      </c>
      <c r="D31" t="s">
        <v>58</v>
      </c>
      <c r="E31" t="b">
        <v>0</v>
      </c>
      <c r="F31" t="b">
        <v>0</v>
      </c>
      <c r="G31" s="147"/>
      <c r="H31" s="147"/>
    </row>
    <row r="32" spans="1:10">
      <c r="A32" t="str">
        <f t="shared" si="0"/>
        <v>field_internal_joint_coating_service_usd_joint</v>
      </c>
      <c r="B32" t="s">
        <v>426</v>
      </c>
      <c r="C32" s="149">
        <v>1000</v>
      </c>
      <c r="D32" t="s">
        <v>108</v>
      </c>
      <c r="E32" t="b">
        <v>0</v>
      </c>
      <c r="F32" t="b">
        <v>0</v>
      </c>
      <c r="G32" t="s">
        <v>236</v>
      </c>
    </row>
    <row r="33" spans="1:6">
      <c r="A33" t="str">
        <f t="shared" si="0"/>
        <v>electrical_energy_usd_mwh</v>
      </c>
      <c r="B33" t="s">
        <v>137</v>
      </c>
      <c r="C33" s="126">
        <v>175</v>
      </c>
      <c r="D33" t="s">
        <v>141</v>
      </c>
      <c r="E33" t="b">
        <v>0</v>
      </c>
      <c r="F33" t="b">
        <v>0</v>
      </c>
    </row>
    <row r="34" spans="1:6">
      <c r="A34" t="str">
        <f t="shared" si="0"/>
        <v>gravitational_acceleration</v>
      </c>
      <c r="B34" t="s">
        <v>12</v>
      </c>
      <c r="C34" s="128">
        <v>9.8066499999999994</v>
      </c>
      <c r="D34" t="s">
        <v>13</v>
      </c>
      <c r="E34" t="b">
        <v>1</v>
      </c>
      <c r="F34" t="b">
        <v>0</v>
      </c>
    </row>
    <row r="35" spans="1:6">
      <c r="B35" t="s">
        <v>414</v>
      </c>
      <c r="C35" s="185">
        <v>1.6</v>
      </c>
    </row>
    <row r="36" spans="1:6">
      <c r="B36" t="s">
        <v>192</v>
      </c>
      <c r="C36" s="213">
        <v>9</v>
      </c>
      <c r="D36" s="82" t="s">
        <v>166</v>
      </c>
    </row>
  </sheetData>
  <hyperlinks>
    <hyperlink ref="G23" r:id="rId1" xr:uid="{B65FC443-1221-CE48-A9F7-B2A8789A5F5C}"/>
    <hyperlink ref="G20" r:id="rId2" xr:uid="{26E8F0F0-38A1-4E41-9D12-93529C59C0F8}"/>
    <hyperlink ref="G21" r:id="rId3" xr:uid="{FDBA5EFB-C4D2-2A4E-8F5E-A17FF62C9943}"/>
    <hyperlink ref="G22" r:id="rId4" xr:uid="{084B8C38-7F2F-A04D-8866-186EAC8ADB94}"/>
    <hyperlink ref="G9" r:id="rId5" xr:uid="{D05F0AB7-465E-1941-98EC-21F2231C324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2530-6803-5C4F-AA09-1D05CC42093C}">
  <dimension ref="B1:S29"/>
  <sheetViews>
    <sheetView topLeftCell="A5" zoomScale="221" zoomScaleNormal="221" workbookViewId="0">
      <selection activeCell="B28" sqref="B28:I29"/>
    </sheetView>
  </sheetViews>
  <sheetFormatPr baseColWidth="10" defaultRowHeight="11"/>
  <cols>
    <col min="1" max="1" width="10.83203125" style="196"/>
    <col min="2" max="2" width="8.5" style="196" bestFit="1" customWidth="1"/>
    <col min="3" max="3" width="3.83203125" style="196" bestFit="1" customWidth="1"/>
    <col min="4" max="4" width="6.5" style="196" bestFit="1" customWidth="1"/>
    <col min="5" max="5" width="4.5" style="196" bestFit="1" customWidth="1"/>
    <col min="6" max="6" width="4.83203125" style="196" bestFit="1" customWidth="1"/>
    <col min="7" max="7" width="9.1640625" style="196" bestFit="1" customWidth="1"/>
    <col min="8" max="8" width="7.5" style="196" bestFit="1" customWidth="1"/>
    <col min="9" max="9" width="8" style="196" bestFit="1" customWidth="1"/>
    <col min="10" max="10" width="8.6640625" style="196" bestFit="1" customWidth="1"/>
    <col min="11" max="11" width="11.33203125" style="196" bestFit="1" customWidth="1"/>
    <col min="12" max="12" width="10.83203125" style="196" bestFit="1" customWidth="1"/>
    <col min="13" max="13" width="7.1640625" style="196" bestFit="1" customWidth="1"/>
    <col min="14" max="14" width="6.1640625" style="196" bestFit="1" customWidth="1"/>
    <col min="15" max="15" width="5.6640625" style="196" bestFit="1" customWidth="1"/>
    <col min="16" max="16" width="8.33203125" style="196" bestFit="1" customWidth="1"/>
    <col min="17" max="17" width="8.1640625" style="196" bestFit="1" customWidth="1"/>
    <col min="18" max="18" width="20.83203125" style="196" bestFit="1" customWidth="1"/>
    <col min="19" max="19" width="36.83203125" style="196" bestFit="1" customWidth="1"/>
    <col min="20" max="20" width="68.83203125" style="196" customWidth="1"/>
    <col min="21" max="16384" width="10.83203125" style="196"/>
  </cols>
  <sheetData>
    <row r="1" spans="2:19" ht="12" thickBot="1"/>
    <row r="2" spans="2:19" ht="13" thickBot="1">
      <c r="B2" s="197" t="s">
        <v>382</v>
      </c>
      <c r="C2" s="197" t="s">
        <v>1</v>
      </c>
      <c r="D2" s="197" t="s">
        <v>381</v>
      </c>
      <c r="E2" s="197" t="s">
        <v>380</v>
      </c>
      <c r="F2" s="197" t="s">
        <v>379</v>
      </c>
      <c r="G2" s="197" t="s">
        <v>162</v>
      </c>
      <c r="H2" s="197" t="s">
        <v>378</v>
      </c>
      <c r="I2" s="197" t="s">
        <v>377</v>
      </c>
      <c r="J2" s="197" t="s">
        <v>376</v>
      </c>
      <c r="K2" s="197" t="s">
        <v>18</v>
      </c>
      <c r="L2" s="197" t="s">
        <v>375</v>
      </c>
      <c r="M2" s="197" t="s">
        <v>374</v>
      </c>
      <c r="N2" s="197" t="s">
        <v>373</v>
      </c>
      <c r="O2" s="197" t="s">
        <v>372</v>
      </c>
      <c r="P2" s="198" t="s">
        <v>371</v>
      </c>
      <c r="Q2" s="199" t="s">
        <v>370</v>
      </c>
    </row>
    <row r="3" spans="2:19" s="189" customFormat="1" ht="13" customHeight="1" thickTop="1" thickBot="1">
      <c r="B3" s="200" t="s">
        <v>369</v>
      </c>
      <c r="C3" s="201">
        <v>1998</v>
      </c>
      <c r="D3" s="201" t="s">
        <v>325</v>
      </c>
      <c r="E3" s="202" t="s">
        <v>280</v>
      </c>
      <c r="F3" s="202">
        <v>90</v>
      </c>
      <c r="G3" s="201" t="s">
        <v>18</v>
      </c>
      <c r="H3" s="201" t="s">
        <v>415</v>
      </c>
      <c r="I3" s="201" t="s">
        <v>289</v>
      </c>
      <c r="J3" s="201" t="s">
        <v>18</v>
      </c>
      <c r="K3" s="201" t="s">
        <v>297</v>
      </c>
      <c r="L3" s="201"/>
      <c r="M3" s="201"/>
      <c r="N3" s="201" t="s">
        <v>275</v>
      </c>
      <c r="O3" s="201"/>
      <c r="P3" s="195"/>
      <c r="Q3" s="186" t="s">
        <v>368</v>
      </c>
      <c r="R3" s="187" t="s">
        <v>367</v>
      </c>
      <c r="S3" s="188" t="s">
        <v>366</v>
      </c>
    </row>
    <row r="4" spans="2:19" s="189" customFormat="1" ht="13" customHeight="1" thickTop="1" thickBot="1">
      <c r="B4" s="203" t="s">
        <v>365</v>
      </c>
      <c r="C4" s="204">
        <v>2007</v>
      </c>
      <c r="D4" s="204" t="s">
        <v>306</v>
      </c>
      <c r="E4" s="204">
        <v>32</v>
      </c>
      <c r="F4" s="204">
        <v>50</v>
      </c>
      <c r="G4" s="204" t="s">
        <v>18</v>
      </c>
      <c r="H4" s="204" t="s">
        <v>419</v>
      </c>
      <c r="I4" s="201" t="s">
        <v>289</v>
      </c>
      <c r="J4" s="204"/>
      <c r="K4" s="204" t="s">
        <v>364</v>
      </c>
      <c r="L4" s="204"/>
      <c r="M4" s="204"/>
      <c r="N4" s="201" t="s">
        <v>275</v>
      </c>
      <c r="O4" s="204"/>
      <c r="P4" s="194"/>
      <c r="Q4" s="190" t="s">
        <v>357</v>
      </c>
    </row>
    <row r="5" spans="2:19" s="189" customFormat="1" ht="13" customHeight="1" thickTop="1" thickBot="1">
      <c r="B5" s="203" t="s">
        <v>362</v>
      </c>
      <c r="C5" s="205">
        <v>2008</v>
      </c>
      <c r="D5" s="204" t="s">
        <v>325</v>
      </c>
      <c r="E5" s="204" t="s">
        <v>316</v>
      </c>
      <c r="F5" s="204">
        <v>130</v>
      </c>
      <c r="G5" s="204" t="s">
        <v>363</v>
      </c>
      <c r="H5" s="204" t="s">
        <v>416</v>
      </c>
      <c r="I5" s="201" t="s">
        <v>289</v>
      </c>
      <c r="J5" s="204"/>
      <c r="K5" s="204"/>
      <c r="L5" s="204"/>
      <c r="M5" s="204"/>
      <c r="N5" s="201" t="s">
        <v>275</v>
      </c>
      <c r="O5" s="204" t="s">
        <v>301</v>
      </c>
      <c r="P5" s="194"/>
      <c r="Q5" s="190" t="s">
        <v>348</v>
      </c>
    </row>
    <row r="6" spans="2:19" s="189" customFormat="1" ht="13" customHeight="1" thickTop="1" thickBot="1">
      <c r="B6" s="203" t="s">
        <v>356</v>
      </c>
      <c r="C6" s="204">
        <v>2011</v>
      </c>
      <c r="D6" s="204" t="s">
        <v>306</v>
      </c>
      <c r="E6" s="204" t="s">
        <v>280</v>
      </c>
      <c r="F6" s="204">
        <v>160</v>
      </c>
      <c r="G6" s="204" t="s">
        <v>17</v>
      </c>
      <c r="H6" s="204" t="s">
        <v>420</v>
      </c>
      <c r="I6" s="201" t="s">
        <v>289</v>
      </c>
      <c r="J6" s="204"/>
      <c r="K6" s="204"/>
      <c r="L6" s="204"/>
      <c r="M6" s="204"/>
      <c r="N6" s="201" t="s">
        <v>275</v>
      </c>
      <c r="O6" s="204"/>
      <c r="P6" s="194"/>
      <c r="Q6" s="192"/>
    </row>
    <row r="7" spans="2:19" s="189" customFormat="1" ht="13" customHeight="1" thickTop="1" thickBot="1">
      <c r="B7" s="203" t="s">
        <v>355</v>
      </c>
      <c r="C7" s="204">
        <v>2012</v>
      </c>
      <c r="D7" s="204" t="s">
        <v>354</v>
      </c>
      <c r="E7" s="204" t="s">
        <v>353</v>
      </c>
      <c r="F7" s="204">
        <v>80</v>
      </c>
      <c r="G7" s="204" t="s">
        <v>352</v>
      </c>
      <c r="H7" s="204" t="s">
        <v>416</v>
      </c>
      <c r="I7" s="201" t="s">
        <v>289</v>
      </c>
      <c r="J7" s="204"/>
      <c r="K7" s="204" t="s">
        <v>297</v>
      </c>
      <c r="L7" s="204"/>
      <c r="M7" s="204"/>
      <c r="N7" s="201" t="s">
        <v>275</v>
      </c>
      <c r="O7" s="204"/>
      <c r="P7" s="194"/>
      <c r="Q7" s="192"/>
    </row>
    <row r="8" spans="2:19" s="189" customFormat="1" ht="13" customHeight="1" thickTop="1" thickBot="1">
      <c r="B8" s="203" t="s">
        <v>351</v>
      </c>
      <c r="C8" s="205">
        <v>2013</v>
      </c>
      <c r="D8" s="204" t="s">
        <v>350</v>
      </c>
      <c r="E8" s="205">
        <v>24</v>
      </c>
      <c r="F8" s="205">
        <v>90</v>
      </c>
      <c r="G8" s="205" t="s">
        <v>349</v>
      </c>
      <c r="H8" s="204" t="s">
        <v>416</v>
      </c>
      <c r="I8" s="201"/>
      <c r="J8" s="205"/>
      <c r="K8" s="204"/>
      <c r="L8" s="204"/>
      <c r="M8" s="204"/>
      <c r="N8" s="201" t="s">
        <v>275</v>
      </c>
      <c r="O8" s="204" t="s">
        <v>335</v>
      </c>
      <c r="P8" s="194"/>
      <c r="Q8" s="191" t="s">
        <v>348</v>
      </c>
    </row>
    <row r="9" spans="2:19" s="189" customFormat="1" ht="13" customHeight="1" thickTop="1" thickBot="1">
      <c r="B9" s="203" t="s">
        <v>347</v>
      </c>
      <c r="C9" s="205">
        <v>2013</v>
      </c>
      <c r="D9" s="204" t="s">
        <v>346</v>
      </c>
      <c r="E9" s="205" t="s">
        <v>316</v>
      </c>
      <c r="F9" s="205">
        <v>50</v>
      </c>
      <c r="G9" s="205" t="s">
        <v>18</v>
      </c>
      <c r="H9" s="204" t="s">
        <v>416</v>
      </c>
      <c r="I9" s="201" t="s">
        <v>289</v>
      </c>
      <c r="J9" s="205"/>
      <c r="K9" s="204"/>
      <c r="L9" s="204"/>
      <c r="M9" s="204"/>
      <c r="N9" s="201" t="s">
        <v>275</v>
      </c>
      <c r="O9" s="204"/>
      <c r="P9" s="194"/>
      <c r="Q9" s="191"/>
    </row>
    <row r="10" spans="2:19" s="189" customFormat="1" ht="13" customHeight="1" thickTop="1" thickBot="1">
      <c r="B10" s="203" t="s">
        <v>345</v>
      </c>
      <c r="C10" s="204">
        <v>2014</v>
      </c>
      <c r="D10" s="204" t="s">
        <v>344</v>
      </c>
      <c r="E10" s="204" t="s">
        <v>280</v>
      </c>
      <c r="F10" s="204">
        <v>140</v>
      </c>
      <c r="G10" s="205" t="s">
        <v>343</v>
      </c>
      <c r="H10" s="204" t="s">
        <v>421</v>
      </c>
      <c r="I10" s="201" t="s">
        <v>289</v>
      </c>
      <c r="J10" s="205"/>
      <c r="K10" s="204"/>
      <c r="L10" s="204"/>
      <c r="M10" s="204"/>
      <c r="N10" s="201" t="s">
        <v>275</v>
      </c>
      <c r="O10" s="204"/>
      <c r="P10" s="194"/>
      <c r="Q10" s="190" t="s">
        <v>332</v>
      </c>
    </row>
    <row r="11" spans="2:19" s="189" customFormat="1" ht="13" customHeight="1" thickTop="1" thickBot="1">
      <c r="B11" s="203" t="s">
        <v>342</v>
      </c>
      <c r="C11" s="205">
        <v>2014</v>
      </c>
      <c r="D11" s="204" t="s">
        <v>325</v>
      </c>
      <c r="E11" s="204" t="s">
        <v>324</v>
      </c>
      <c r="F11" s="205">
        <v>160</v>
      </c>
      <c r="G11" s="204" t="s">
        <v>305</v>
      </c>
      <c r="H11" s="204" t="s">
        <v>416</v>
      </c>
      <c r="I11" s="201" t="s">
        <v>289</v>
      </c>
      <c r="J11" s="204"/>
      <c r="K11" s="204" t="s">
        <v>297</v>
      </c>
      <c r="L11" s="204" t="s">
        <v>287</v>
      </c>
      <c r="M11" s="204" t="s">
        <v>295</v>
      </c>
      <c r="N11" s="201" t="s">
        <v>275</v>
      </c>
      <c r="O11" s="204" t="s">
        <v>294</v>
      </c>
      <c r="P11" s="194" t="s">
        <v>341</v>
      </c>
      <c r="Q11" s="190" t="s">
        <v>313</v>
      </c>
      <c r="R11" s="188" t="s">
        <v>340</v>
      </c>
      <c r="S11" s="188" t="s">
        <v>339</v>
      </c>
    </row>
    <row r="12" spans="2:19" s="189" customFormat="1" ht="13" customHeight="1" thickTop="1" thickBot="1">
      <c r="B12" s="203" t="s">
        <v>338</v>
      </c>
      <c r="C12" s="204">
        <v>2018</v>
      </c>
      <c r="D12" s="204" t="s">
        <v>337</v>
      </c>
      <c r="E12" s="205" t="s">
        <v>280</v>
      </c>
      <c r="F12" s="205">
        <v>160</v>
      </c>
      <c r="G12" s="204" t="s">
        <v>290</v>
      </c>
      <c r="H12" s="204" t="s">
        <v>416</v>
      </c>
      <c r="I12" s="201"/>
      <c r="J12" s="204"/>
      <c r="K12" s="204" t="s">
        <v>336</v>
      </c>
      <c r="L12" s="204" t="s">
        <v>287</v>
      </c>
      <c r="M12" s="204" t="s">
        <v>287</v>
      </c>
      <c r="N12" s="201" t="s">
        <v>275</v>
      </c>
      <c r="O12" s="204" t="s">
        <v>335</v>
      </c>
      <c r="P12" s="194"/>
      <c r="Q12" s="190"/>
    </row>
    <row r="13" spans="2:19" s="189" customFormat="1" ht="13" customHeight="1" thickTop="1" thickBot="1">
      <c r="B13" s="203" t="s">
        <v>326</v>
      </c>
      <c r="C13" s="205">
        <v>2019</v>
      </c>
      <c r="D13" s="204" t="s">
        <v>325</v>
      </c>
      <c r="E13" s="204" t="s">
        <v>324</v>
      </c>
      <c r="F13" s="205">
        <v>160</v>
      </c>
      <c r="G13" s="204" t="s">
        <v>305</v>
      </c>
      <c r="H13" s="204" t="s">
        <v>416</v>
      </c>
      <c r="I13" s="201" t="s">
        <v>289</v>
      </c>
      <c r="J13" s="204"/>
      <c r="K13" s="204"/>
      <c r="L13" s="204"/>
      <c r="M13" s="204"/>
      <c r="N13" s="201"/>
      <c r="O13" s="204"/>
      <c r="P13" s="194"/>
      <c r="Q13" s="190"/>
      <c r="R13" s="188"/>
      <c r="S13" s="188"/>
    </row>
    <row r="14" spans="2:19" s="189" customFormat="1" ht="13" customHeight="1" thickTop="1" thickBot="1">
      <c r="B14" s="203" t="s">
        <v>317</v>
      </c>
      <c r="C14" s="204">
        <v>2022</v>
      </c>
      <c r="D14" s="204" t="s">
        <v>306</v>
      </c>
      <c r="E14" s="204" t="s">
        <v>316</v>
      </c>
      <c r="F14" s="204">
        <v>60</v>
      </c>
      <c r="G14" s="204" t="s">
        <v>17</v>
      </c>
      <c r="H14" s="204" t="s">
        <v>416</v>
      </c>
      <c r="I14" s="201" t="s">
        <v>289</v>
      </c>
      <c r="J14" s="204"/>
      <c r="K14" s="204"/>
      <c r="L14" s="204" t="s">
        <v>287</v>
      </c>
      <c r="M14" s="204"/>
      <c r="N14" s="201" t="s">
        <v>315</v>
      </c>
      <c r="O14" s="204" t="s">
        <v>314</v>
      </c>
      <c r="P14" s="194"/>
      <c r="Q14" s="190" t="s">
        <v>313</v>
      </c>
    </row>
    <row r="15" spans="2:19" s="189" customFormat="1" ht="13" customHeight="1" thickTop="1" thickBot="1">
      <c r="B15" s="203" t="s">
        <v>312</v>
      </c>
      <c r="C15" s="204">
        <v>2023</v>
      </c>
      <c r="D15" s="204" t="s">
        <v>311</v>
      </c>
      <c r="E15" s="206" t="s">
        <v>280</v>
      </c>
      <c r="F15" s="206">
        <v>160</v>
      </c>
      <c r="G15" s="204" t="s">
        <v>17</v>
      </c>
      <c r="H15" s="204" t="s">
        <v>416</v>
      </c>
      <c r="I15" s="201" t="s">
        <v>289</v>
      </c>
      <c r="J15" s="204"/>
      <c r="K15" s="204"/>
      <c r="L15" s="204"/>
      <c r="M15" s="204"/>
      <c r="N15" s="201" t="s">
        <v>275</v>
      </c>
      <c r="O15" s="204" t="s">
        <v>310</v>
      </c>
      <c r="P15" s="194"/>
    </row>
    <row r="16" spans="2:19" s="189" customFormat="1" ht="13" customHeight="1" thickTop="1" thickBot="1">
      <c r="B16" s="203" t="s">
        <v>309</v>
      </c>
      <c r="C16" s="204">
        <v>2025</v>
      </c>
      <c r="D16" s="204" t="s">
        <v>308</v>
      </c>
      <c r="E16" s="204" t="s">
        <v>284</v>
      </c>
      <c r="F16" s="204">
        <v>120</v>
      </c>
      <c r="G16" s="204" t="s">
        <v>290</v>
      </c>
      <c r="H16" s="204" t="s">
        <v>416</v>
      </c>
      <c r="I16" s="201"/>
      <c r="J16" s="204"/>
      <c r="K16" s="204"/>
      <c r="L16" s="204"/>
      <c r="M16" s="204"/>
      <c r="N16" s="201" t="s">
        <v>275</v>
      </c>
      <c r="O16" s="204" t="s">
        <v>274</v>
      </c>
      <c r="P16" s="207"/>
      <c r="Q16" s="193"/>
    </row>
    <row r="17" spans="2:17" s="189" customFormat="1" ht="13" customHeight="1" thickTop="1" thickBot="1">
      <c r="B17" s="203" t="s">
        <v>307</v>
      </c>
      <c r="C17" s="205">
        <v>2026</v>
      </c>
      <c r="D17" s="204" t="s">
        <v>306</v>
      </c>
      <c r="E17" s="204" t="s">
        <v>284</v>
      </c>
      <c r="F17" s="205">
        <v>60</v>
      </c>
      <c r="G17" s="204" t="s">
        <v>305</v>
      </c>
      <c r="H17" s="204" t="s">
        <v>417</v>
      </c>
      <c r="I17" s="201" t="s">
        <v>289</v>
      </c>
      <c r="J17" s="204"/>
      <c r="K17" s="204" t="s">
        <v>304</v>
      </c>
      <c r="L17" s="204" t="s">
        <v>303</v>
      </c>
      <c r="M17" s="204" t="s">
        <v>302</v>
      </c>
      <c r="N17" s="201" t="s">
        <v>275</v>
      </c>
      <c r="O17" s="204" t="s">
        <v>301</v>
      </c>
      <c r="P17" s="207"/>
    </row>
    <row r="18" spans="2:17" s="189" customFormat="1" ht="13" customHeight="1" thickTop="1" thickBot="1">
      <c r="B18" s="203" t="s">
        <v>300</v>
      </c>
      <c r="C18" s="204">
        <v>2026</v>
      </c>
      <c r="D18" s="204" t="s">
        <v>299</v>
      </c>
      <c r="E18" s="204" t="s">
        <v>298</v>
      </c>
      <c r="F18" s="204">
        <v>194</v>
      </c>
      <c r="G18" s="204" t="s">
        <v>18</v>
      </c>
      <c r="H18" s="204" t="s">
        <v>416</v>
      </c>
      <c r="I18" s="201" t="s">
        <v>289</v>
      </c>
      <c r="J18" s="204"/>
      <c r="K18" s="204" t="s">
        <v>297</v>
      </c>
      <c r="L18" s="204" t="s">
        <v>296</v>
      </c>
      <c r="M18" s="204" t="s">
        <v>295</v>
      </c>
      <c r="N18" s="201" t="s">
        <v>275</v>
      </c>
      <c r="O18" s="204" t="s">
        <v>294</v>
      </c>
      <c r="P18" s="207"/>
    </row>
    <row r="19" spans="2:17" s="189" customFormat="1" ht="13" customHeight="1" thickTop="1" thickBot="1">
      <c r="B19" s="203" t="s">
        <v>293</v>
      </c>
      <c r="C19" s="204">
        <v>2026</v>
      </c>
      <c r="D19" s="204" t="s">
        <v>292</v>
      </c>
      <c r="E19" s="204" t="s">
        <v>291</v>
      </c>
      <c r="F19" s="204">
        <v>160</v>
      </c>
      <c r="G19" s="204" t="s">
        <v>290</v>
      </c>
      <c r="H19" s="204" t="s">
        <v>416</v>
      </c>
      <c r="I19" s="201" t="s">
        <v>289</v>
      </c>
      <c r="J19" s="204"/>
      <c r="K19" s="204" t="s">
        <v>288</v>
      </c>
      <c r="L19" s="204" t="s">
        <v>287</v>
      </c>
      <c r="M19" s="204" t="s">
        <v>287</v>
      </c>
      <c r="N19" s="201" t="s">
        <v>275</v>
      </c>
      <c r="O19" s="204"/>
      <c r="P19" s="207"/>
    </row>
    <row r="20" spans="2:17" s="189" customFormat="1" ht="13" customHeight="1" thickTop="1" thickBot="1">
      <c r="B20" s="203" t="s">
        <v>286</v>
      </c>
      <c r="C20" s="204">
        <v>2026</v>
      </c>
      <c r="D20" s="204" t="s">
        <v>285</v>
      </c>
      <c r="E20" s="204" t="s">
        <v>284</v>
      </c>
      <c r="F20" s="204">
        <v>24</v>
      </c>
      <c r="G20" s="204" t="s">
        <v>17</v>
      </c>
      <c r="H20" s="204" t="s">
        <v>418</v>
      </c>
      <c r="I20" s="204"/>
      <c r="J20" s="204"/>
      <c r="K20" s="204"/>
      <c r="L20" s="204"/>
      <c r="M20" s="204"/>
      <c r="N20" s="201" t="s">
        <v>275</v>
      </c>
      <c r="O20" s="204" t="s">
        <v>283</v>
      </c>
      <c r="P20" s="207"/>
    </row>
    <row r="21" spans="2:17" s="189" customFormat="1" ht="13" customHeight="1" thickTop="1" thickBot="1">
      <c r="B21" s="203" t="s">
        <v>282</v>
      </c>
      <c r="C21" s="204">
        <v>2026</v>
      </c>
      <c r="D21" s="204" t="s">
        <v>281</v>
      </c>
      <c r="E21" s="204" t="s">
        <v>280</v>
      </c>
      <c r="F21" s="204">
        <v>90</v>
      </c>
      <c r="G21" s="204" t="s">
        <v>18</v>
      </c>
      <c r="H21" s="204" t="s">
        <v>420</v>
      </c>
      <c r="I21" s="204"/>
      <c r="J21" s="204"/>
      <c r="K21" s="204"/>
      <c r="L21" s="204"/>
      <c r="M21" s="204"/>
      <c r="N21" s="201"/>
      <c r="O21" s="204"/>
      <c r="P21" s="207"/>
    </row>
    <row r="22" spans="2:17" s="189" customFormat="1" ht="13" customHeight="1" thickTop="1" thickBot="1">
      <c r="B22" s="208" t="s">
        <v>278</v>
      </c>
      <c r="C22" s="209">
        <v>2027</v>
      </c>
      <c r="D22" s="209" t="s">
        <v>277</v>
      </c>
      <c r="E22" s="209" t="s">
        <v>276</v>
      </c>
      <c r="F22" s="209">
        <v>120</v>
      </c>
      <c r="G22" s="209" t="s">
        <v>18</v>
      </c>
      <c r="H22" s="209" t="s">
        <v>416</v>
      </c>
      <c r="I22" s="209"/>
      <c r="J22" s="209"/>
      <c r="K22" s="209"/>
      <c r="L22" s="209"/>
      <c r="M22" s="209"/>
      <c r="N22" s="210" t="s">
        <v>275</v>
      </c>
      <c r="O22" s="209" t="s">
        <v>274</v>
      </c>
      <c r="P22" s="211"/>
    </row>
    <row r="23" spans="2:17" s="189" customFormat="1" ht="13" customHeight="1" thickTop="1" thickBot="1">
      <c r="B23" s="203" t="s">
        <v>279</v>
      </c>
      <c r="C23" s="204">
        <v>2026</v>
      </c>
      <c r="D23" s="204" t="s">
        <v>279</v>
      </c>
      <c r="E23" s="204"/>
      <c r="F23" s="204"/>
      <c r="G23" s="204"/>
      <c r="H23" s="204"/>
      <c r="I23" s="204"/>
      <c r="J23" s="204"/>
      <c r="K23" s="204"/>
      <c r="L23" s="204"/>
      <c r="M23" s="204"/>
      <c r="N23" s="201"/>
      <c r="O23" s="204"/>
      <c r="P23" s="207"/>
    </row>
    <row r="24" spans="2:17" s="189" customFormat="1" ht="13" customHeight="1" thickTop="1" thickBot="1">
      <c r="B24" s="203" t="s">
        <v>321</v>
      </c>
      <c r="C24" s="204">
        <v>2021</v>
      </c>
      <c r="D24" s="204" t="s">
        <v>320</v>
      </c>
      <c r="E24" s="204" t="s">
        <v>319</v>
      </c>
      <c r="F24" s="204">
        <v>70</v>
      </c>
      <c r="G24" s="204" t="s">
        <v>323</v>
      </c>
      <c r="H24" s="201" t="s">
        <v>421</v>
      </c>
      <c r="I24" s="201" t="s">
        <v>289</v>
      </c>
      <c r="J24" s="204"/>
      <c r="K24" s="204"/>
      <c r="L24" s="204"/>
      <c r="M24" s="204"/>
      <c r="N24" s="201" t="s">
        <v>275</v>
      </c>
      <c r="O24" s="204" t="s">
        <v>294</v>
      </c>
      <c r="P24" s="194"/>
      <c r="Q24" s="191" t="s">
        <v>322</v>
      </c>
    </row>
    <row r="25" spans="2:17" s="189" customFormat="1" ht="13" customHeight="1" thickTop="1" thickBot="1">
      <c r="B25" s="203" t="s">
        <v>360</v>
      </c>
      <c r="C25" s="204">
        <v>2009</v>
      </c>
      <c r="D25" s="204" t="s">
        <v>330</v>
      </c>
      <c r="E25" s="204" t="s">
        <v>359</v>
      </c>
      <c r="F25" s="204">
        <v>60</v>
      </c>
      <c r="G25" s="204" t="s">
        <v>358</v>
      </c>
      <c r="H25" s="204" t="s">
        <v>419</v>
      </c>
      <c r="I25" s="201" t="s">
        <v>289</v>
      </c>
      <c r="J25" s="204"/>
      <c r="K25" s="204"/>
      <c r="L25" s="204"/>
      <c r="M25" s="204"/>
      <c r="N25" s="201"/>
      <c r="O25" s="204"/>
      <c r="P25" s="194"/>
      <c r="Q25" s="186" t="s">
        <v>357</v>
      </c>
    </row>
    <row r="26" spans="2:17" s="189" customFormat="1" ht="13" customHeight="1" thickTop="1" thickBot="1">
      <c r="B26" s="203" t="s">
        <v>321</v>
      </c>
      <c r="C26" s="204">
        <v>2021</v>
      </c>
      <c r="D26" s="204" t="s">
        <v>320</v>
      </c>
      <c r="E26" s="204" t="s">
        <v>319</v>
      </c>
      <c r="F26" s="204">
        <v>20</v>
      </c>
      <c r="G26" s="204" t="s">
        <v>318</v>
      </c>
      <c r="H26" s="204" t="s">
        <v>421</v>
      </c>
      <c r="I26" s="201"/>
      <c r="J26" s="204"/>
      <c r="K26" s="204"/>
      <c r="L26" s="204"/>
      <c r="M26" s="204"/>
      <c r="N26" s="201" t="s">
        <v>275</v>
      </c>
      <c r="O26" s="204" t="s">
        <v>294</v>
      </c>
      <c r="P26" s="194"/>
      <c r="Q26" s="190" t="s">
        <v>313</v>
      </c>
    </row>
    <row r="27" spans="2:17" s="189" customFormat="1" ht="13" customHeight="1" thickTop="1" thickBot="1">
      <c r="B27" s="203" t="s">
        <v>362</v>
      </c>
      <c r="C27" s="205">
        <v>2008</v>
      </c>
      <c r="D27" s="204" t="s">
        <v>325</v>
      </c>
      <c r="E27" s="204" t="s">
        <v>316</v>
      </c>
      <c r="F27" s="204">
        <v>20</v>
      </c>
      <c r="G27" s="204" t="s">
        <v>361</v>
      </c>
      <c r="H27" s="204" t="s">
        <v>416</v>
      </c>
      <c r="I27" s="201" t="s">
        <v>289</v>
      </c>
      <c r="J27" s="204"/>
      <c r="K27" s="204"/>
      <c r="L27" s="204"/>
      <c r="M27" s="204"/>
      <c r="N27" s="201" t="s">
        <v>275</v>
      </c>
      <c r="O27" s="204" t="s">
        <v>301</v>
      </c>
      <c r="P27" s="194"/>
      <c r="Q27" s="190" t="s">
        <v>348</v>
      </c>
    </row>
    <row r="28" spans="2:17" s="189" customFormat="1" ht="13" customHeight="1" thickTop="1" thickBot="1">
      <c r="B28" s="203" t="s">
        <v>331</v>
      </c>
      <c r="C28" s="205">
        <v>2018</v>
      </c>
      <c r="D28" s="204" t="s">
        <v>330</v>
      </c>
      <c r="E28" s="205" t="s">
        <v>284</v>
      </c>
      <c r="F28" s="205">
        <v>30</v>
      </c>
      <c r="G28" s="205" t="s">
        <v>334</v>
      </c>
      <c r="H28" s="204" t="s">
        <v>422</v>
      </c>
      <c r="I28" s="201" t="s">
        <v>289</v>
      </c>
      <c r="J28" s="205"/>
      <c r="K28" s="204" t="s">
        <v>333</v>
      </c>
      <c r="L28" s="204" t="s">
        <v>287</v>
      </c>
      <c r="M28" s="204" t="s">
        <v>287</v>
      </c>
      <c r="N28" s="201" t="s">
        <v>275</v>
      </c>
      <c r="O28" s="204" t="s">
        <v>301</v>
      </c>
      <c r="P28" s="194"/>
      <c r="Q28" s="190" t="s">
        <v>332</v>
      </c>
    </row>
    <row r="29" spans="2:17" s="189" customFormat="1" ht="13" customHeight="1" thickTop="1" thickBot="1">
      <c r="B29" s="203" t="s">
        <v>331</v>
      </c>
      <c r="C29" s="205">
        <v>2018</v>
      </c>
      <c r="D29" s="204" t="s">
        <v>330</v>
      </c>
      <c r="E29" s="205" t="s">
        <v>329</v>
      </c>
      <c r="F29" s="205">
        <v>30</v>
      </c>
      <c r="G29" s="205" t="s">
        <v>328</v>
      </c>
      <c r="H29" s="201" t="s">
        <v>418</v>
      </c>
      <c r="I29" s="201" t="s">
        <v>289</v>
      </c>
      <c r="J29" s="205"/>
      <c r="K29" s="204" t="s">
        <v>327</v>
      </c>
      <c r="L29" s="204" t="s">
        <v>287</v>
      </c>
      <c r="M29" s="204"/>
      <c r="N29" s="201" t="s">
        <v>275</v>
      </c>
      <c r="O29" s="204" t="s">
        <v>301</v>
      </c>
      <c r="P29" s="194"/>
      <c r="Q29" s="191" t="s">
        <v>322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78BA-5E80-3042-B3AF-9144313DE68D}">
  <dimension ref="B2:N58"/>
  <sheetViews>
    <sheetView zoomScale="158" zoomScaleNormal="158" workbookViewId="0">
      <pane ySplit="2" topLeftCell="A18" activePane="bottomLeft" state="frozen"/>
      <selection pane="bottomLeft" activeCell="C36" sqref="C36"/>
    </sheetView>
  </sheetViews>
  <sheetFormatPr baseColWidth="10" defaultRowHeight="16"/>
  <cols>
    <col min="1" max="1" width="3" customWidth="1"/>
    <col min="2" max="2" width="26" bestFit="1" customWidth="1"/>
    <col min="3" max="3" width="13.83203125" customWidth="1"/>
    <col min="4" max="4" width="11.83203125" customWidth="1"/>
    <col min="5" max="5" width="13.33203125" customWidth="1"/>
    <col min="9" max="9" width="4.83203125" bestFit="1" customWidth="1"/>
    <col min="10" max="10" width="12.6640625" bestFit="1" customWidth="1"/>
    <col min="12" max="12" width="13" bestFit="1" customWidth="1"/>
    <col min="13" max="13" width="6.5" customWidth="1"/>
  </cols>
  <sheetData>
    <row r="2" spans="2:9">
      <c r="B2" s="71" t="s">
        <v>124</v>
      </c>
      <c r="C2" s="71" t="s">
        <v>24</v>
      </c>
      <c r="D2" s="71" t="s">
        <v>23</v>
      </c>
      <c r="E2" s="71" t="s">
        <v>136</v>
      </c>
      <c r="F2" s="71" t="s">
        <v>139</v>
      </c>
    </row>
    <row r="3" spans="2:9">
      <c r="B3" t="s">
        <v>126</v>
      </c>
      <c r="C3" s="74">
        <f>x70_steel_density</f>
        <v>7850</v>
      </c>
      <c r="D3" s="72" t="s">
        <v>7</v>
      </c>
      <c r="E3" t="b">
        <v>1</v>
      </c>
    </row>
    <row r="4" spans="2:9">
      <c r="B4" t="s">
        <v>148</v>
      </c>
      <c r="C4">
        <f>bare_wall__yr_1_mm</f>
        <v>13.28</v>
      </c>
      <c r="D4" t="s">
        <v>10</v>
      </c>
      <c r="E4" t="b">
        <v>0</v>
      </c>
    </row>
    <row r="5" spans="2:9">
      <c r="B5" t="s">
        <v>127</v>
      </c>
      <c r="C5">
        <f>outside_diameter</f>
        <v>0.71120000000000005</v>
      </c>
      <c r="D5" t="s">
        <v>2</v>
      </c>
      <c r="E5" t="b">
        <v>1</v>
      </c>
    </row>
    <row r="6" spans="2:9">
      <c r="B6" t="s">
        <v>149</v>
      </c>
      <c r="C6" s="74">
        <f>pipeline_length</f>
        <v>100000</v>
      </c>
      <c r="D6" t="s">
        <v>2</v>
      </c>
      <c r="E6" t="b">
        <v>1</v>
      </c>
    </row>
    <row r="7" spans="2:9">
      <c r="B7" t="s">
        <v>150</v>
      </c>
      <c r="C7" s="73">
        <f>hrc_price_usd_t/1000</f>
        <v>0.47</v>
      </c>
      <c r="D7" t="s">
        <v>153</v>
      </c>
      <c r="E7" t="b">
        <v>0</v>
      </c>
    </row>
    <row r="8" spans="2:9">
      <c r="B8" t="s">
        <v>155</v>
      </c>
      <c r="C8">
        <v>15</v>
      </c>
      <c r="D8" t="s">
        <v>58</v>
      </c>
      <c r="E8" t="b">
        <v>0</v>
      </c>
    </row>
    <row r="9" spans="2:9">
      <c r="B9" t="s">
        <v>156</v>
      </c>
      <c r="C9">
        <v>120</v>
      </c>
      <c r="D9" t="s">
        <v>58</v>
      </c>
      <c r="E9" t="b">
        <v>0</v>
      </c>
    </row>
    <row r="10" spans="2:9">
      <c r="B10" t="s">
        <v>157</v>
      </c>
      <c r="C10">
        <v>35</v>
      </c>
      <c r="D10" t="s">
        <v>58</v>
      </c>
      <c r="E10" t="b">
        <v>0</v>
      </c>
    </row>
    <row r="11" spans="2:9">
      <c r="B11" t="s">
        <v>152</v>
      </c>
      <c r="C11">
        <f>SUM(C8:C10)</f>
        <v>170</v>
      </c>
      <c r="D11" t="s">
        <v>58</v>
      </c>
    </row>
    <row r="12" spans="2:9">
      <c r="B12" t="s">
        <v>152</v>
      </c>
      <c r="C12" s="73">
        <f>SUM(C8:C10)/1000</f>
        <v>0.17</v>
      </c>
      <c r="D12" t="s">
        <v>153</v>
      </c>
      <c r="E12" t="b">
        <v>0</v>
      </c>
    </row>
    <row r="13" spans="2:9">
      <c r="B13" t="s">
        <v>240</v>
      </c>
      <c r="C13" s="184">
        <f>(C7*hrc_to_X70_multiplier+C12)</f>
        <v>0.92200000000000004</v>
      </c>
      <c r="D13" t="s">
        <v>153</v>
      </c>
      <c r="E13" t="b">
        <v>0</v>
      </c>
    </row>
    <row r="14" spans="2:9">
      <c r="B14" t="s">
        <v>240</v>
      </c>
      <c r="C14" s="170">
        <f>cost_per_steel_weight*1000</f>
        <v>922</v>
      </c>
      <c r="D14" t="s">
        <v>58</v>
      </c>
    </row>
    <row r="15" spans="2:9">
      <c r="B15" t="s">
        <v>194</v>
      </c>
      <c r="C15" s="108">
        <f>bare_inside_diameter_yr_1</f>
        <v>0.68464000000000003</v>
      </c>
      <c r="D15" t="s">
        <v>2</v>
      </c>
      <c r="E15" t="b">
        <v>1</v>
      </c>
    </row>
    <row r="16" spans="2:9">
      <c r="B16" t="s">
        <v>193</v>
      </c>
      <c r="C16" s="109">
        <f>PI()/4*(outside_diameter^2-bare_inside_diameter_yr_1^2)</f>
        <v>2.9117466978856206E-2</v>
      </c>
      <c r="D16" s="72" t="s">
        <v>177</v>
      </c>
      <c r="E16" t="b">
        <v>1</v>
      </c>
      <c r="H16" s="228" t="s">
        <v>384</v>
      </c>
      <c r="I16" s="228"/>
    </row>
    <row r="17" spans="2:10">
      <c r="B17" s="75" t="s">
        <v>195</v>
      </c>
      <c r="C17" s="74">
        <f>C18/1000</f>
        <v>22857.211578402119</v>
      </c>
      <c r="D17" t="s">
        <v>25</v>
      </c>
      <c r="G17" t="s">
        <v>383</v>
      </c>
      <c r="H17">
        <v>0.8</v>
      </c>
      <c r="I17" t="s">
        <v>153</v>
      </c>
      <c r="J17" s="73"/>
    </row>
    <row r="18" spans="2:10">
      <c r="B18" s="75" t="s">
        <v>195</v>
      </c>
      <c r="C18" s="76">
        <f>volume_1_m_bare*C3*C6</f>
        <v>22857211.578402121</v>
      </c>
      <c r="D18" s="75" t="s">
        <v>151</v>
      </c>
      <c r="E18" t="b">
        <v>1</v>
      </c>
      <c r="G18" t="s">
        <v>385</v>
      </c>
      <c r="H18">
        <v>0.1</v>
      </c>
      <c r="I18" t="s">
        <v>153</v>
      </c>
      <c r="J18" s="73"/>
    </row>
    <row r="19" spans="2:10">
      <c r="B19" t="s">
        <v>158</v>
      </c>
      <c r="C19" s="9">
        <f>C13*C18</f>
        <v>21074349.075286757</v>
      </c>
      <c r="D19" t="s">
        <v>154</v>
      </c>
      <c r="G19" t="s">
        <v>386</v>
      </c>
      <c r="H19">
        <v>0.1</v>
      </c>
      <c r="I19" t="s">
        <v>153</v>
      </c>
      <c r="J19" s="73"/>
    </row>
    <row r="20" spans="2:10">
      <c r="G20" t="s">
        <v>387</v>
      </c>
      <c r="H20">
        <f>freight_cost</f>
        <v>0.17</v>
      </c>
      <c r="I20" t="s">
        <v>153</v>
      </c>
      <c r="J20" s="73"/>
    </row>
    <row r="21" spans="2:10">
      <c r="H21">
        <f>SUM(H17:H20)</f>
        <v>1.17</v>
      </c>
    </row>
    <row r="22" spans="2:10">
      <c r="B22" s="71" t="s">
        <v>124</v>
      </c>
      <c r="C22" s="71" t="s">
        <v>24</v>
      </c>
      <c r="D22" s="71" t="s">
        <v>23</v>
      </c>
      <c r="E22" s="71" t="s">
        <v>136</v>
      </c>
      <c r="F22" s="71" t="s">
        <v>139</v>
      </c>
    </row>
    <row r="23" spans="2:10">
      <c r="B23" t="s">
        <v>126</v>
      </c>
      <c r="C23" s="74">
        <f>x70_steel_density</f>
        <v>7850</v>
      </c>
      <c r="D23" s="72" t="s">
        <v>7</v>
      </c>
      <c r="E23" t="b">
        <v>1</v>
      </c>
    </row>
    <row r="24" spans="2:10">
      <c r="B24" t="s">
        <v>159</v>
      </c>
      <c r="C24">
        <f>fbe_wall__yr_1_mm</f>
        <v>9.5299999999999994</v>
      </c>
      <c r="D24" t="s">
        <v>10</v>
      </c>
      <c r="E24" t="b">
        <v>0</v>
      </c>
    </row>
    <row r="25" spans="2:10">
      <c r="B25" t="s">
        <v>196</v>
      </c>
      <c r="C25">
        <f>fbe_inside_diameter_yr_1</f>
        <v>0.69214000000000009</v>
      </c>
      <c r="D25" t="s">
        <v>2</v>
      </c>
      <c r="E25" t="b">
        <v>1</v>
      </c>
    </row>
    <row r="26" spans="2:10">
      <c r="B26" t="s">
        <v>197</v>
      </c>
      <c r="C26">
        <f>PI()*(outside_diameter^2-fbe_inside_diameter_yr_1^2)/4</f>
        <v>2.1007563353338601E-2</v>
      </c>
      <c r="D26" s="72" t="s">
        <v>177</v>
      </c>
      <c r="E26" t="b">
        <v>1</v>
      </c>
    </row>
    <row r="27" spans="2:10">
      <c r="B27" t="s">
        <v>198</v>
      </c>
      <c r="C27" s="74">
        <f>C28/1000</f>
        <v>16490.937232370805</v>
      </c>
      <c r="D27" t="s">
        <v>25</v>
      </c>
    </row>
    <row r="28" spans="2:10">
      <c r="B28" s="75" t="s">
        <v>198</v>
      </c>
      <c r="C28" s="76">
        <f>volume_1_m_fbe*C3*C6</f>
        <v>16490937.232370803</v>
      </c>
      <c r="D28" s="75" t="s">
        <v>151</v>
      </c>
      <c r="E28" t="b">
        <v>1</v>
      </c>
    </row>
    <row r="29" spans="2:10">
      <c r="B29" t="s">
        <v>160</v>
      </c>
      <c r="C29" s="9">
        <f>C13*C28</f>
        <v>15204644.128245881</v>
      </c>
      <c r="D29" t="s">
        <v>154</v>
      </c>
    </row>
    <row r="32" spans="2:10">
      <c r="C32" t="s">
        <v>17</v>
      </c>
      <c r="D32" t="s">
        <v>221</v>
      </c>
      <c r="E32" t="s">
        <v>424</v>
      </c>
      <c r="F32" t="s">
        <v>161</v>
      </c>
    </row>
    <row r="33" spans="2:14">
      <c r="B33" s="13" t="s">
        <v>219</v>
      </c>
      <c r="C33">
        <f>bare_wall__yr_1_mm</f>
        <v>13.28</v>
      </c>
      <c r="D33">
        <f>C24</f>
        <v>9.5299999999999994</v>
      </c>
      <c r="F33" s="10">
        <f>1-C36/D35</f>
        <v>0.69855185006262088</v>
      </c>
    </row>
    <row r="34" spans="2:14">
      <c r="B34" s="13" t="s">
        <v>220</v>
      </c>
      <c r="C34" s="74">
        <f>bare_steel_weight_t</f>
        <v>22857.211578402119</v>
      </c>
      <c r="D34" s="74">
        <f>fbe_steel_weight_t</f>
        <v>16490.937232370805</v>
      </c>
      <c r="E34" s="10"/>
    </row>
    <row r="35" spans="2:14">
      <c r="B35" s="13" t="s">
        <v>425</v>
      </c>
      <c r="C35" s="8">
        <f>Steel_c2</f>
        <v>15204644.128245881</v>
      </c>
      <c r="D35" s="8">
        <f>capex_steel_fbe</f>
        <v>15204644.128245881</v>
      </c>
      <c r="E35" s="8">
        <f>Steel_c1-Steel_c2</f>
        <v>-10621232.285329927</v>
      </c>
    </row>
    <row r="36" spans="2:14">
      <c r="B36" s="13" t="s">
        <v>438</v>
      </c>
      <c r="C36" s="8">
        <f>capex_steel_bare-C28</f>
        <v>4583411.8429159541</v>
      </c>
      <c r="D36" s="74">
        <v>0</v>
      </c>
      <c r="E36" s="10"/>
    </row>
    <row r="38" spans="2:14">
      <c r="B38" s="77" t="s">
        <v>162</v>
      </c>
      <c r="C38" s="77" t="s">
        <v>163</v>
      </c>
      <c r="D38" s="77" t="s">
        <v>164</v>
      </c>
    </row>
    <row r="39" spans="2:14">
      <c r="B39" s="77" t="s">
        <v>17</v>
      </c>
      <c r="C39" s="79">
        <f>C19</f>
        <v>21074349.075286757</v>
      </c>
      <c r="D39" s="78">
        <v>1</v>
      </c>
    </row>
    <row r="40" spans="2:14">
      <c r="B40" s="77" t="s">
        <v>18</v>
      </c>
      <c r="C40" s="79">
        <f>C29</f>
        <v>15204644.128245881</v>
      </c>
      <c r="D40" s="80">
        <f>C40/C39</f>
        <v>0.72147633475787398</v>
      </c>
    </row>
    <row r="41" spans="2:14">
      <c r="B41" s="77" t="s">
        <v>16</v>
      </c>
      <c r="C41" s="79">
        <f>C39-C40</f>
        <v>5869704.9470408764</v>
      </c>
      <c r="D41" s="80">
        <f>C41/C39</f>
        <v>0.27852366524212602</v>
      </c>
    </row>
    <row r="45" spans="2:14">
      <c r="B45" s="173" t="s">
        <v>411</v>
      </c>
      <c r="C45" s="173"/>
      <c r="D45" s="173"/>
      <c r="E45" s="173"/>
      <c r="F45" s="173"/>
      <c r="G45" s="173"/>
      <c r="H45" s="173"/>
      <c r="I45" s="173"/>
      <c r="J45" s="173">
        <v>0.35295940879288684</v>
      </c>
      <c r="K45" s="173">
        <f>O47*J45</f>
        <v>0</v>
      </c>
      <c r="L45" s="176">
        <f>K45-J47</f>
        <v>-2441015.5559999999</v>
      </c>
      <c r="M45" s="173"/>
    </row>
    <row r="46" spans="2:14" ht="31">
      <c r="B46" s="173" t="s">
        <v>410</v>
      </c>
      <c r="C46" s="173" t="s">
        <v>412</v>
      </c>
      <c r="D46" s="173" t="s">
        <v>66</v>
      </c>
      <c r="E46" s="173" t="s">
        <v>403</v>
      </c>
      <c r="F46" s="178" t="s">
        <v>407</v>
      </c>
      <c r="G46" s="173" t="s">
        <v>388</v>
      </c>
      <c r="H46" s="173" t="s">
        <v>409</v>
      </c>
      <c r="I46" s="173" t="s">
        <v>389</v>
      </c>
      <c r="J46" s="173" t="s">
        <v>408</v>
      </c>
      <c r="K46" s="173" t="s">
        <v>404</v>
      </c>
      <c r="L46" s="173" t="s">
        <v>405</v>
      </c>
      <c r="M46" s="173" t="s">
        <v>406</v>
      </c>
      <c r="N46" s="173" t="s">
        <v>413</v>
      </c>
    </row>
    <row r="47" spans="2:14">
      <c r="B47" s="179">
        <v>45715</v>
      </c>
      <c r="C47" s="174">
        <v>15.88</v>
      </c>
      <c r="D47" s="173">
        <v>1</v>
      </c>
      <c r="E47" s="173" t="s">
        <v>391</v>
      </c>
      <c r="F47" s="175">
        <v>19644</v>
      </c>
      <c r="G47" s="173" t="s">
        <v>394</v>
      </c>
      <c r="H47" s="173" t="s">
        <v>390</v>
      </c>
      <c r="I47" s="173">
        <v>28</v>
      </c>
      <c r="J47" s="176">
        <v>2441015.5559999999</v>
      </c>
      <c r="K47" s="181">
        <f>PI()/4*(CONVERT(I47,"in","m")^2-(CONVERT(I47,"in","m")-C47/1000)^2)*F47</f>
        <v>344.60074887609795</v>
      </c>
      <c r="L47" s="180">
        <f>K47*x70_steel_density</f>
        <v>2705115.8786773691</v>
      </c>
      <c r="M47" s="183">
        <f t="shared" ref="M47:M57" si="0">J47/L47</f>
        <v>0.90237005196003006</v>
      </c>
    </row>
    <row r="48" spans="2:14">
      <c r="B48" s="179">
        <v>45715</v>
      </c>
      <c r="C48" s="174">
        <v>12.7</v>
      </c>
      <c r="D48" s="173">
        <v>2</v>
      </c>
      <c r="E48" s="173" t="s">
        <v>392</v>
      </c>
      <c r="F48" s="175">
        <v>25836</v>
      </c>
      <c r="G48" s="173" t="s">
        <v>394</v>
      </c>
      <c r="H48" s="173" t="s">
        <v>390</v>
      </c>
      <c r="I48" s="173">
        <v>28</v>
      </c>
      <c r="J48" s="176">
        <v>2579293.7694999995</v>
      </c>
      <c r="K48" s="181">
        <f t="shared" ref="K48:K49" si="1">PI()/4*(CONVERT(I48,"in","m")^2-(CONVERT(I48,"in","m")-C48/1000)^2)*F48</f>
        <v>363.28342043147217</v>
      </c>
      <c r="L48" s="180">
        <f>K48*x70_steel_density</f>
        <v>2851774.8503870564</v>
      </c>
      <c r="M48" s="183">
        <f t="shared" si="0"/>
        <v>0.9044521060805083</v>
      </c>
    </row>
    <row r="49" spans="2:14">
      <c r="B49" s="179">
        <v>45715</v>
      </c>
      <c r="C49" s="174">
        <v>9.5299999999999994</v>
      </c>
      <c r="D49" s="173">
        <v>3</v>
      </c>
      <c r="E49" s="173" t="s">
        <v>393</v>
      </c>
      <c r="F49" s="175">
        <v>24540</v>
      </c>
      <c r="G49" s="173" t="s">
        <v>394</v>
      </c>
      <c r="H49" s="173" t="s">
        <v>390</v>
      </c>
      <c r="I49" s="173">
        <v>28</v>
      </c>
      <c r="J49" s="176">
        <v>1846740.0559999999</v>
      </c>
      <c r="K49" s="181">
        <f t="shared" si="1"/>
        <v>259.51325448561124</v>
      </c>
      <c r="L49" s="180">
        <f>K49*x70_steel_density</f>
        <v>2037179.0477120483</v>
      </c>
      <c r="M49" s="183">
        <f t="shared" si="0"/>
        <v>0.90651828472027041</v>
      </c>
    </row>
    <row r="50" spans="2:14">
      <c r="B50" s="179">
        <v>45715</v>
      </c>
      <c r="C50" s="173"/>
      <c r="D50" s="173">
        <v>4</v>
      </c>
      <c r="E50" s="173"/>
      <c r="F50" s="175"/>
      <c r="G50" s="173"/>
      <c r="H50" s="173"/>
      <c r="I50" s="173"/>
      <c r="J50" s="177">
        <f>SUM(J47:J49)</f>
        <v>6867049.3814999992</v>
      </c>
      <c r="K50" s="182"/>
      <c r="L50" s="173"/>
      <c r="M50" s="173"/>
    </row>
    <row r="51" spans="2:14">
      <c r="B51" s="179">
        <v>45715</v>
      </c>
      <c r="C51" s="174">
        <v>15.88</v>
      </c>
      <c r="D51" s="173">
        <v>5</v>
      </c>
      <c r="E51" s="173" t="s">
        <v>396</v>
      </c>
      <c r="F51" s="175">
        <v>19644</v>
      </c>
      <c r="G51" s="173" t="s">
        <v>394</v>
      </c>
      <c r="H51" s="173" t="s">
        <v>398</v>
      </c>
      <c r="I51" s="173">
        <v>28</v>
      </c>
      <c r="J51" s="176">
        <v>2725760.142</v>
      </c>
      <c r="K51" s="181">
        <f>PI()/4*(CONVERT(I51,"in","m")^2-(CONVERT(I51,"in","m")-C51/1000)^2)*F51</f>
        <v>344.60074887609795</v>
      </c>
      <c r="L51" s="180">
        <f>K51*x70_steel_density</f>
        <v>2705115.8786773691</v>
      </c>
      <c r="M51" s="176">
        <f t="shared" si="0"/>
        <v>1.0076315633963617</v>
      </c>
    </row>
    <row r="52" spans="2:14">
      <c r="B52" s="179">
        <v>45715</v>
      </c>
      <c r="C52" s="174">
        <v>12.7</v>
      </c>
      <c r="D52" s="173">
        <v>6</v>
      </c>
      <c r="E52" s="173" t="s">
        <v>395</v>
      </c>
      <c r="F52" s="175">
        <v>25836</v>
      </c>
      <c r="G52" s="173" t="s">
        <v>394</v>
      </c>
      <c r="H52" s="173" t="s">
        <v>398</v>
      </c>
      <c r="I52" s="173">
        <v>28</v>
      </c>
      <c r="J52" s="176">
        <v>2880168.5184999998</v>
      </c>
      <c r="K52" s="181">
        <f t="shared" ref="K52:K53" si="2">PI()/4*(CONVERT(I52,"in","m")^2-(CONVERT(I52,"in","m")-C52/1000)^2)*F52</f>
        <v>363.28342043147217</v>
      </c>
      <c r="L52" s="180">
        <f>K52*x70_steel_density</f>
        <v>2851774.8503870564</v>
      </c>
      <c r="M52" s="176">
        <f t="shared" si="0"/>
        <v>1.009956490116704</v>
      </c>
    </row>
    <row r="53" spans="2:14">
      <c r="B53" s="179">
        <v>45715</v>
      </c>
      <c r="C53" s="174">
        <v>9.5299999999999994</v>
      </c>
      <c r="D53" s="173">
        <v>7</v>
      </c>
      <c r="E53" s="173" t="s">
        <v>397</v>
      </c>
      <c r="F53" s="175">
        <v>24540</v>
      </c>
      <c r="G53" s="173" t="s">
        <v>394</v>
      </c>
      <c r="H53" s="173" t="s">
        <v>398</v>
      </c>
      <c r="I53" s="173">
        <v>28</v>
      </c>
      <c r="J53" s="176">
        <v>2062162.3784999999</v>
      </c>
      <c r="K53" s="181">
        <f t="shared" si="2"/>
        <v>259.51325448561124</v>
      </c>
      <c r="L53" s="180">
        <f>K53*x70_steel_density</f>
        <v>2037179.0477120483</v>
      </c>
      <c r="M53" s="176">
        <f t="shared" si="0"/>
        <v>1.0122636892500982</v>
      </c>
    </row>
    <row r="54" spans="2:14">
      <c r="B54" s="179">
        <v>45715</v>
      </c>
      <c r="C54" s="173"/>
      <c r="D54" s="173">
        <v>8</v>
      </c>
      <c r="E54" s="173"/>
      <c r="F54" s="175"/>
      <c r="G54" s="173"/>
      <c r="H54" s="173"/>
      <c r="I54" s="173"/>
      <c r="J54" s="177">
        <f>SUM(J51:J53)</f>
        <v>7668091.0389999989</v>
      </c>
      <c r="K54" s="182"/>
      <c r="L54" s="173"/>
      <c r="M54" s="173"/>
      <c r="N54" s="152">
        <f>1-J54/J50</f>
        <v>-0.11665005055271993</v>
      </c>
    </row>
    <row r="55" spans="2:14">
      <c r="B55" s="179">
        <v>45715</v>
      </c>
      <c r="C55" s="174">
        <v>15.88</v>
      </c>
      <c r="D55" s="173">
        <v>9</v>
      </c>
      <c r="E55" s="173" t="s">
        <v>399</v>
      </c>
      <c r="F55" s="175">
        <v>19644</v>
      </c>
      <c r="G55" s="173" t="s">
        <v>394</v>
      </c>
      <c r="H55" s="173" t="s">
        <v>402</v>
      </c>
      <c r="I55" s="173">
        <v>28</v>
      </c>
      <c r="J55" s="176">
        <v>3066666.9739999999</v>
      </c>
      <c r="K55" s="181">
        <f>PI()/4*(CONVERT(I55,"in","m")^2-(CONVERT(I55,"in","m")-C55/1000)^2)*F55</f>
        <v>344.60074887609795</v>
      </c>
      <c r="L55" s="180">
        <f>K55*x70_steel_density</f>
        <v>2705115.8786773691</v>
      </c>
      <c r="M55" s="176">
        <f t="shared" si="0"/>
        <v>1.1336545684317991</v>
      </c>
    </row>
    <row r="56" spans="2:14">
      <c r="B56" s="179">
        <v>45715</v>
      </c>
      <c r="C56" s="174">
        <v>12.7</v>
      </c>
      <c r="D56" s="173">
        <v>10</v>
      </c>
      <c r="E56" s="173" t="s">
        <v>400</v>
      </c>
      <c r="F56" s="175">
        <v>25836</v>
      </c>
      <c r="G56" s="173" t="s">
        <v>394</v>
      </c>
      <c r="H56" s="173" t="s">
        <v>402</v>
      </c>
      <c r="I56" s="173">
        <v>28</v>
      </c>
      <c r="J56" s="176">
        <v>3240386.9784999997</v>
      </c>
      <c r="K56" s="181">
        <f t="shared" ref="K56:K57" si="3">PI()/4*(CONVERT(I56,"in","m")^2-(CONVERT(I56,"in","m")-C56/1000)^2)*F56</f>
        <v>363.28342043147217</v>
      </c>
      <c r="L56" s="180">
        <f>K56*x70_steel_density</f>
        <v>2851774.8503870564</v>
      </c>
      <c r="M56" s="176">
        <f t="shared" si="0"/>
        <v>1.1362702697445415</v>
      </c>
    </row>
    <row r="57" spans="2:14">
      <c r="B57" s="179">
        <v>45715</v>
      </c>
      <c r="C57" s="174">
        <v>9.5299999999999994</v>
      </c>
      <c r="D57" s="173">
        <v>11</v>
      </c>
      <c r="E57" s="173" t="s">
        <v>401</v>
      </c>
      <c r="F57" s="175">
        <v>24540</v>
      </c>
      <c r="G57" s="173" t="s">
        <v>394</v>
      </c>
      <c r="H57" s="173" t="s">
        <v>402</v>
      </c>
      <c r="I57" s="173">
        <v>28</v>
      </c>
      <c r="J57" s="176">
        <v>2320074.0079999999</v>
      </c>
      <c r="K57" s="181">
        <f t="shared" si="3"/>
        <v>259.51325448561124</v>
      </c>
      <c r="L57" s="180">
        <f>K57*x70_steel_density</f>
        <v>2037179.0477120483</v>
      </c>
      <c r="M57" s="176">
        <f t="shared" si="0"/>
        <v>1.1388660268255117</v>
      </c>
    </row>
    <row r="58" spans="2:14">
      <c r="B58" s="179">
        <v>45715</v>
      </c>
      <c r="C58" s="173"/>
      <c r="D58" s="173">
        <v>12</v>
      </c>
      <c r="E58" s="173"/>
      <c r="F58" s="175"/>
      <c r="G58" s="173"/>
      <c r="H58" s="173"/>
      <c r="I58" s="173"/>
      <c r="J58" s="177">
        <f>SUM(J55:J57)</f>
        <v>8627127.9605</v>
      </c>
      <c r="K58" s="173"/>
      <c r="L58" s="173"/>
      <c r="M58" s="173"/>
    </row>
  </sheetData>
  <mergeCells count="1">
    <mergeCell ref="H16:I16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CF63-E6D6-E64D-988E-570BBA6A8598}">
  <dimension ref="A1:I10"/>
  <sheetViews>
    <sheetView zoomScale="150" zoomScaleNormal="150" workbookViewId="0">
      <pane ySplit="1" topLeftCell="A2" activePane="bottomLeft" state="frozen"/>
      <selection pane="bottomLeft" activeCell="A12" sqref="A12"/>
    </sheetView>
  </sheetViews>
  <sheetFormatPr baseColWidth="10" defaultRowHeight="15"/>
  <cols>
    <col min="1" max="1" width="34" style="82" bestFit="1" customWidth="1"/>
    <col min="2" max="2" width="11.1640625" style="82" bestFit="1" customWidth="1"/>
    <col min="3" max="4" width="11.33203125" style="82" bestFit="1" customWidth="1"/>
    <col min="5" max="16384" width="10.83203125" style="82"/>
  </cols>
  <sheetData>
    <row r="1" spans="1:9" customFormat="1" ht="16">
      <c r="A1" s="71" t="s">
        <v>124</v>
      </c>
      <c r="B1" s="71" t="s">
        <v>24</v>
      </c>
      <c r="C1" s="71" t="s">
        <v>23</v>
      </c>
      <c r="D1" s="71"/>
      <c r="E1" s="71"/>
    </row>
    <row r="2" spans="1:9" ht="16">
      <c r="A2" s="83" t="s">
        <v>192</v>
      </c>
      <c r="B2" s="212">
        <v>6</v>
      </c>
      <c r="C2" s="82" t="s">
        <v>166</v>
      </c>
      <c r="I2" s="84"/>
    </row>
    <row r="3" spans="1:9">
      <c r="A3" s="106" t="s">
        <v>189</v>
      </c>
      <c r="B3" s="88">
        <f>fbe_inside_diameter_yr_1</f>
        <v>0.69214000000000009</v>
      </c>
      <c r="C3" s="82" t="s">
        <v>2</v>
      </c>
    </row>
    <row r="4" spans="1:9">
      <c r="A4" s="106" t="s">
        <v>190</v>
      </c>
      <c r="B4" s="82">
        <f>pipeline_length</f>
        <v>100000</v>
      </c>
      <c r="C4" s="82" t="s">
        <v>2</v>
      </c>
    </row>
    <row r="5" spans="1:9">
      <c r="A5" s="85" t="s">
        <v>191</v>
      </c>
      <c r="B5" s="89">
        <f>PI()*fbe_inside_diameter_yr_1*pipeline_length</f>
        <v>217442.19392556397</v>
      </c>
      <c r="C5" s="83" t="s">
        <v>60</v>
      </c>
    </row>
    <row r="6" spans="1:9">
      <c r="A6" s="106" t="s">
        <v>245</v>
      </c>
      <c r="B6" s="90">
        <f>FBE_cost_per_surface*fbe_inside_surface</f>
        <v>1304653.1635533839</v>
      </c>
      <c r="C6" s="91"/>
    </row>
    <row r="7" spans="1:9">
      <c r="A7" s="106" t="s">
        <v>163</v>
      </c>
      <c r="B7" s="90">
        <f>capex_steel_fbe</f>
        <v>15204644.128245881</v>
      </c>
      <c r="F7" s="85"/>
      <c r="G7" s="84"/>
      <c r="H7" s="81"/>
      <c r="I7" s="81"/>
    </row>
    <row r="8" spans="1:9">
      <c r="B8" s="90">
        <f>SUM(B6:B7)</f>
        <v>16509297.291799264</v>
      </c>
      <c r="F8" s="85"/>
      <c r="G8" s="81"/>
      <c r="H8" s="81"/>
      <c r="I8" s="81"/>
    </row>
    <row r="9" spans="1:9">
      <c r="A9" s="106" t="s">
        <v>222</v>
      </c>
      <c r="B9" s="110">
        <f>interior_fbe_capex/FBE_plus_bare</f>
        <v>7.9025360104300141E-2</v>
      </c>
      <c r="F9" s="85"/>
      <c r="G9" s="86"/>
      <c r="H9" s="81"/>
      <c r="I9" s="81"/>
    </row>
    <row r="10" spans="1:9">
      <c r="A10" s="106" t="s">
        <v>223</v>
      </c>
      <c r="B10" s="110">
        <f>B7/FBE_plus_bare</f>
        <v>0.92097463989569994</v>
      </c>
      <c r="H10" s="81"/>
      <c r="I10" s="87"/>
    </row>
  </sheetData>
  <pageMargins left="0.7" right="0.7" top="0.75" bottom="0.75" header="0.3" footer="0.3"/>
  <pageSetup orientation="portrait" horizontalDpi="0" verticalDpi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13A2-911B-9D49-B1C9-9DED1E3BE9CB}">
  <dimension ref="B2:G24"/>
  <sheetViews>
    <sheetView zoomScale="134" workbookViewId="0">
      <selection activeCell="E21" sqref="E21"/>
    </sheetView>
  </sheetViews>
  <sheetFormatPr baseColWidth="10" defaultRowHeight="16"/>
  <cols>
    <col min="1" max="1" width="4" customWidth="1"/>
    <col min="2" max="2" width="31" bestFit="1" customWidth="1"/>
    <col min="3" max="3" width="15" bestFit="1" customWidth="1"/>
    <col min="5" max="5" width="15" bestFit="1" customWidth="1"/>
  </cols>
  <sheetData>
    <row r="2" spans="2:7">
      <c r="B2" s="107" t="s">
        <v>59</v>
      </c>
      <c r="C2" s="107" t="s">
        <v>61</v>
      </c>
    </row>
    <row r="3" spans="2:7">
      <c r="B3" t="s">
        <v>167</v>
      </c>
      <c r="C3" s="12">
        <f>C$9*D3</f>
        <v>24</v>
      </c>
      <c r="D3" s="92">
        <v>2.4E-2</v>
      </c>
    </row>
    <row r="4" spans="2:7">
      <c r="B4" t="s">
        <v>168</v>
      </c>
      <c r="C4" s="12">
        <f t="shared" ref="C4:C8" si="0">C$9*D4</f>
        <v>15</v>
      </c>
      <c r="D4" s="92">
        <v>1.4999999999999999E-2</v>
      </c>
      <c r="G4">
        <f>43/5</f>
        <v>8.6</v>
      </c>
    </row>
    <row r="5" spans="2:7">
      <c r="B5" t="s">
        <v>169</v>
      </c>
      <c r="C5" s="12">
        <f t="shared" si="0"/>
        <v>549</v>
      </c>
      <c r="D5" s="92">
        <v>0.54900000000000004</v>
      </c>
    </row>
    <row r="6" spans="2:7">
      <c r="B6" t="s">
        <v>170</v>
      </c>
      <c r="C6" s="12">
        <f t="shared" si="0"/>
        <v>162</v>
      </c>
      <c r="D6" s="92">
        <v>0.16200000000000001</v>
      </c>
    </row>
    <row r="7" spans="2:7">
      <c r="B7" t="s">
        <v>171</v>
      </c>
      <c r="C7" s="12">
        <f t="shared" si="0"/>
        <v>197</v>
      </c>
      <c r="D7" s="92">
        <v>0.19700000000000001</v>
      </c>
    </row>
    <row r="8" spans="2:7">
      <c r="B8" s="75" t="s">
        <v>172</v>
      </c>
      <c r="C8" s="95">
        <f t="shared" si="0"/>
        <v>53</v>
      </c>
      <c r="D8" s="93">
        <v>5.2999999999999999E-2</v>
      </c>
    </row>
    <row r="9" spans="2:7">
      <c r="B9" t="s">
        <v>173</v>
      </c>
      <c r="C9" s="12">
        <f>field_coating_usd_joint</f>
        <v>1000</v>
      </c>
      <c r="D9" s="94">
        <f>SUM(D3:D8)</f>
        <v>1</v>
      </c>
    </row>
    <row r="11" spans="2:7">
      <c r="B11" t="s">
        <v>138</v>
      </c>
      <c r="C11">
        <f>pipeline_length</f>
        <v>100000</v>
      </c>
    </row>
    <row r="12" spans="2:7">
      <c r="B12" t="s">
        <v>128</v>
      </c>
      <c r="C12">
        <f>segment_length</f>
        <v>12</v>
      </c>
    </row>
    <row r="13" spans="2:7">
      <c r="B13" s="75" t="s">
        <v>175</v>
      </c>
      <c r="C13" s="148">
        <f>ROUNDUP(pipeline_length/segment_length,0)</f>
        <v>8334</v>
      </c>
      <c r="E13" s="150"/>
    </row>
    <row r="14" spans="2:7">
      <c r="B14" t="s">
        <v>174</v>
      </c>
      <c r="C14" s="8">
        <f>C13*C9</f>
        <v>8334000</v>
      </c>
    </row>
    <row r="16" spans="2:7">
      <c r="B16" t="s">
        <v>246</v>
      </c>
      <c r="C16" s="153">
        <v>4.1999999999999997E-3</v>
      </c>
      <c r="D16" s="111"/>
    </row>
    <row r="17" spans="2:5">
      <c r="B17" t="s">
        <v>247</v>
      </c>
      <c r="C17" s="152">
        <f>1-C16</f>
        <v>0.99580000000000002</v>
      </c>
    </row>
    <row r="18" spans="2:5">
      <c r="B18" t="s">
        <v>248</v>
      </c>
      <c r="C18">
        <f>ROUND(field_coating_total/Shop_fbe_coating,1)</f>
        <v>6.4</v>
      </c>
    </row>
    <row r="19" spans="2:5">
      <c r="B19" t="s">
        <v>249</v>
      </c>
      <c r="C19" s="74">
        <f>(field_coating_total/C16-Shop_fbe_coating/C17)/(Shop_fbe_coating/C17)</f>
        <v>1513.5417720859741</v>
      </c>
    </row>
    <row r="21" spans="2:5">
      <c r="B21" t="s">
        <v>202</v>
      </c>
      <c r="C21" s="8">
        <f>capex_steel_fbe</f>
        <v>15204644.128245881</v>
      </c>
      <c r="D21" s="10">
        <f>Total_Steel_cost/Total_Field_Shop_Steel</f>
        <v>0.61202198523240758</v>
      </c>
    </row>
    <row r="22" spans="2:5">
      <c r="B22" t="s">
        <v>201</v>
      </c>
      <c r="C22" s="8">
        <f>field_coating_total</f>
        <v>8334000</v>
      </c>
      <c r="D22" s="10">
        <f>field_Joint_Coating/Total_Field_Shop_Steel</f>
        <v>0.33546271664796445</v>
      </c>
      <c r="E22" s="151"/>
    </row>
    <row r="23" spans="2:5">
      <c r="B23" t="s">
        <v>200</v>
      </c>
      <c r="C23" s="8">
        <f>interior_fbe_capex</f>
        <v>1304653.1635533839</v>
      </c>
      <c r="D23" s="10">
        <f>Shop_fbe_coating/Total_Field_Shop_Steel</f>
        <v>5.2515298119627941E-2</v>
      </c>
    </row>
    <row r="24" spans="2:5">
      <c r="B24" t="s">
        <v>203</v>
      </c>
      <c r="C24" s="8">
        <f>SUM(C21:C23)</f>
        <v>24843297.291799266</v>
      </c>
      <c r="D24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EADF-8A01-E74D-A0E2-986F52611BCE}">
  <dimension ref="B1:L15"/>
  <sheetViews>
    <sheetView zoomScale="160" zoomScaleNormal="96" workbookViewId="0">
      <pane ySplit="1" topLeftCell="A2" activePane="bottomLeft" state="frozen"/>
      <selection pane="bottomLeft" activeCell="F15" sqref="F15"/>
    </sheetView>
  </sheetViews>
  <sheetFormatPr baseColWidth="10" defaultRowHeight="16"/>
  <cols>
    <col min="2" max="2" width="22.33203125" bestFit="1" customWidth="1"/>
    <col min="3" max="3" width="12" bestFit="1" customWidth="1"/>
    <col min="4" max="6" width="14.1640625" customWidth="1"/>
    <col min="7" max="7" width="17" bestFit="1" customWidth="1"/>
    <col min="8" max="8" width="12" bestFit="1" customWidth="1"/>
    <col min="9" max="9" width="11.1640625" customWidth="1"/>
    <col min="10" max="10" width="15.33203125" bestFit="1" customWidth="1"/>
    <col min="11" max="11" width="15.6640625" bestFit="1" customWidth="1"/>
  </cols>
  <sheetData>
    <row r="1" spans="2:12">
      <c r="B1" s="71" t="s">
        <v>124</v>
      </c>
      <c r="C1" s="71" t="s">
        <v>24</v>
      </c>
      <c r="D1" s="71" t="s">
        <v>23</v>
      </c>
    </row>
    <row r="2" spans="2:12">
      <c r="B2" t="s">
        <v>165</v>
      </c>
      <c r="C2">
        <v>0.7</v>
      </c>
      <c r="D2" t="s">
        <v>5</v>
      </c>
    </row>
    <row r="3" spans="2:12">
      <c r="B3" t="s">
        <v>165</v>
      </c>
      <c r="C3">
        <f>C2*3600</f>
        <v>2520</v>
      </c>
      <c r="D3" t="s">
        <v>181</v>
      </c>
    </row>
    <row r="4" spans="2:12">
      <c r="B4" t="s">
        <v>165</v>
      </c>
      <c r="C4">
        <f>C3*24*30</f>
        <v>1814400</v>
      </c>
      <c r="D4" t="s">
        <v>180</v>
      </c>
    </row>
    <row r="5" spans="2:12">
      <c r="B5" t="s">
        <v>81</v>
      </c>
      <c r="C5">
        <f>annual_hours_operation_h_yr</f>
        <v>8400</v>
      </c>
      <c r="D5" t="s">
        <v>176</v>
      </c>
    </row>
    <row r="6" spans="2:12">
      <c r="B6" t="s">
        <v>178</v>
      </c>
      <c r="C6" s="170">
        <f>C5*C3</f>
        <v>21168000</v>
      </c>
      <c r="D6" t="s">
        <v>177</v>
      </c>
    </row>
    <row r="7" spans="2:12">
      <c r="B7" t="s">
        <v>147</v>
      </c>
      <c r="C7">
        <f>fluid_density</f>
        <v>1030</v>
      </c>
      <c r="D7" s="72" t="s">
        <v>7</v>
      </c>
      <c r="E7" s="97"/>
      <c r="F7" s="97"/>
      <c r="G7" s="97"/>
      <c r="H7" s="97"/>
      <c r="I7" s="97"/>
      <c r="J7" s="99"/>
      <c r="K7" s="99"/>
      <c r="L7" s="98"/>
    </row>
    <row r="8" spans="2:12">
      <c r="B8" s="97" t="s">
        <v>187</v>
      </c>
      <c r="C8" s="103">
        <f>annual_discount_rate</f>
        <v>0.1</v>
      </c>
      <c r="D8" s="97"/>
    </row>
    <row r="9" spans="2:12">
      <c r="B9" s="97" t="s">
        <v>218</v>
      </c>
      <c r="C9" s="125">
        <v>0.2</v>
      </c>
    </row>
    <row r="10" spans="2:12" ht="34">
      <c r="B10" s="71" t="s">
        <v>185</v>
      </c>
      <c r="C10" s="71" t="s">
        <v>182</v>
      </c>
      <c r="D10" s="160" t="s">
        <v>184</v>
      </c>
      <c r="E10" s="160" t="s">
        <v>183</v>
      </c>
      <c r="F10" s="71" t="s">
        <v>21</v>
      </c>
      <c r="G10" s="160" t="s">
        <v>186</v>
      </c>
    </row>
    <row r="11" spans="2:12">
      <c r="B11" s="161" t="s">
        <v>179</v>
      </c>
      <c r="C11" s="162">
        <v>26</v>
      </c>
      <c r="D11" s="163">
        <f>C11*$C$6/1000</f>
        <v>550368</v>
      </c>
      <c r="E11" s="164">
        <v>1.8</v>
      </c>
      <c r="F11" s="165">
        <f>E11*D11</f>
        <v>990662.4</v>
      </c>
      <c r="G11" s="166">
        <f>D11/12</f>
        <v>45864</v>
      </c>
    </row>
    <row r="12" spans="2:12">
      <c r="B12" t="s">
        <v>20</v>
      </c>
      <c r="C12" s="102">
        <v>0.456349206349206</v>
      </c>
      <c r="D12" s="74">
        <f>C12*$C$6/1000</f>
        <v>9659.9999999999927</v>
      </c>
      <c r="E12" s="101">
        <f>16*(1-C9)</f>
        <v>12.8</v>
      </c>
      <c r="F12" s="167">
        <f>E12*D12</f>
        <v>123647.99999999991</v>
      </c>
      <c r="G12" s="100">
        <f>D12/12</f>
        <v>804.99999999999943</v>
      </c>
    </row>
    <row r="13" spans="2:12">
      <c r="B13" t="s">
        <v>259</v>
      </c>
      <c r="C13" s="102"/>
      <c r="D13" s="74"/>
      <c r="E13" s="101"/>
      <c r="F13" s="167">
        <v>12000</v>
      </c>
      <c r="G13" s="100"/>
    </row>
    <row r="14" spans="2:12">
      <c r="B14" s="159" t="s">
        <v>21</v>
      </c>
      <c r="C14" s="159"/>
      <c r="D14" s="159"/>
      <c r="E14" s="159"/>
      <c r="F14" s="168">
        <f>SUBTOTAL(109,Inhibitors!$F$11:$F$13)</f>
        <v>1126310.3999999999</v>
      </c>
      <c r="G14" s="169"/>
    </row>
    <row r="15" spans="2:12">
      <c r="E15" t="s">
        <v>188</v>
      </c>
      <c r="F15" s="157">
        <f>-PV(C8,25,Inhibitors!$F$14)</f>
        <v>10223564.573747916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03D1-A75D-E941-9154-04654FBCA689}">
  <dimension ref="B2:D8"/>
  <sheetViews>
    <sheetView zoomScale="163" zoomScaleNormal="163" workbookViewId="0">
      <selection activeCell="C8" sqref="C8"/>
    </sheetView>
  </sheetViews>
  <sheetFormatPr baseColWidth="10" defaultRowHeight="16"/>
  <cols>
    <col min="1" max="1" width="4.33203125" customWidth="1"/>
    <col min="2" max="2" width="19.83203125" bestFit="1" customWidth="1"/>
    <col min="3" max="3" width="13.33203125" bestFit="1" customWidth="1"/>
  </cols>
  <sheetData>
    <row r="2" spans="2:4">
      <c r="B2" s="71" t="s">
        <v>124</v>
      </c>
      <c r="C2" s="71" t="s">
        <v>24</v>
      </c>
      <c r="D2" s="71" t="s">
        <v>23</v>
      </c>
    </row>
    <row r="3" spans="2:4">
      <c r="B3" t="s">
        <v>206</v>
      </c>
      <c r="C3" s="8">
        <v>8000</v>
      </c>
      <c r="D3" t="s">
        <v>62</v>
      </c>
    </row>
    <row r="4" spans="2:4">
      <c r="B4" t="s">
        <v>207</v>
      </c>
      <c r="C4" s="8">
        <v>4000</v>
      </c>
      <c r="D4" t="s">
        <v>62</v>
      </c>
    </row>
    <row r="5" spans="2:4">
      <c r="B5" t="s">
        <v>204</v>
      </c>
      <c r="C5" s="8">
        <f>C3*pipeline_length/1000</f>
        <v>800000</v>
      </c>
    </row>
    <row r="6" spans="2:4">
      <c r="B6" t="s">
        <v>205</v>
      </c>
      <c r="C6" s="8">
        <f>C4*pipeline_length/1000</f>
        <v>400000</v>
      </c>
    </row>
    <row r="7" spans="2:4">
      <c r="B7" t="s">
        <v>208</v>
      </c>
      <c r="C7" s="96">
        <f>-PV(annual_discount_rate,25,C5)</f>
        <v>7261632.0145834861</v>
      </c>
    </row>
    <row r="8" spans="2:4">
      <c r="B8" t="s">
        <v>209</v>
      </c>
      <c r="C8" s="96">
        <f>-PV(annual_discount_rate,25,C6)</f>
        <v>3630816.0072917431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8F08-E7FB-424B-BF34-D78E61D823D3}">
  <sheetPr>
    <tabColor theme="0" tint="-0.499984740745262"/>
  </sheetPr>
  <dimension ref="A1:AD77"/>
  <sheetViews>
    <sheetView topLeftCell="A8" zoomScale="182" zoomScaleNormal="180" zoomScaleSheetLayoutView="170" workbookViewId="0">
      <selection activeCell="Q20" sqref="Q20"/>
    </sheetView>
  </sheetViews>
  <sheetFormatPr baseColWidth="10" defaultColWidth="13.83203125" defaultRowHeight="13"/>
  <cols>
    <col min="1" max="1" width="7.1640625" style="14" bestFit="1" customWidth="1"/>
    <col min="2" max="3" width="9.1640625" style="14" customWidth="1"/>
    <col min="4" max="4" width="10.6640625" style="14" customWidth="1"/>
    <col min="5" max="5" width="11" style="14" bestFit="1" customWidth="1"/>
    <col min="6" max="6" width="9.1640625" style="14" customWidth="1"/>
    <col min="7" max="7" width="10.33203125" style="14" customWidth="1"/>
    <col min="8" max="8" width="8" style="14" customWidth="1"/>
    <col min="9" max="9" width="8.33203125" style="14" bestFit="1" customWidth="1"/>
    <col min="10" max="10" width="12" style="14" bestFit="1" customWidth="1"/>
    <col min="11" max="11" width="13.83203125" style="14" bestFit="1" customWidth="1"/>
    <col min="12" max="12" width="7.1640625" style="15" bestFit="1" customWidth="1"/>
    <col min="13" max="13" width="7.5" style="15" customWidth="1"/>
    <col min="14" max="14" width="8.1640625" style="15" bestFit="1" customWidth="1"/>
    <col min="15" max="15" width="9.6640625" style="15" bestFit="1" customWidth="1"/>
    <col min="16" max="16" width="8.83203125" style="15" bestFit="1" customWidth="1"/>
    <col min="17" max="17" width="10.33203125" style="15" bestFit="1" customWidth="1"/>
    <col min="18" max="18" width="5.1640625" style="15" bestFit="1" customWidth="1"/>
    <col min="19" max="20" width="6.6640625" style="15" bestFit="1" customWidth="1"/>
    <col min="21" max="22" width="10.6640625" style="15" bestFit="1" customWidth="1"/>
    <col min="23" max="23" width="6.83203125" style="16" bestFit="1" customWidth="1"/>
    <col min="24" max="24" width="4.83203125" style="17" customWidth="1"/>
    <col min="25" max="25" width="21" style="17" bestFit="1" customWidth="1"/>
    <col min="26" max="26" width="22.6640625" style="17" customWidth="1"/>
    <col min="27" max="27" width="14" style="17" bestFit="1" customWidth="1"/>
    <col min="28" max="16384" width="13.83203125" style="17"/>
  </cols>
  <sheetData>
    <row r="1" spans="1:23">
      <c r="D1" s="18"/>
    </row>
    <row r="2" spans="1:23">
      <c r="D2" s="18"/>
    </row>
    <row r="3" spans="1:23">
      <c r="D3" s="18" t="s">
        <v>138</v>
      </c>
      <c r="E3" s="14">
        <f>pipeline_length</f>
        <v>100000</v>
      </c>
      <c r="F3" s="14" t="s">
        <v>2</v>
      </c>
    </row>
    <row r="4" spans="1:23">
      <c r="D4" s="18" t="s">
        <v>165</v>
      </c>
      <c r="E4" s="14">
        <f>design_flow_rate</f>
        <v>0.7</v>
      </c>
      <c r="F4" s="14" t="s">
        <v>5</v>
      </c>
    </row>
    <row r="5" spans="1:23">
      <c r="D5" s="18" t="s">
        <v>211</v>
      </c>
      <c r="E5" s="14">
        <f>fluid_density</f>
        <v>1030</v>
      </c>
    </row>
    <row r="6" spans="1:23">
      <c r="D6" s="18" t="s">
        <v>119</v>
      </c>
      <c r="E6" s="14">
        <f>Elevation_change</f>
        <v>1000</v>
      </c>
      <c r="F6" s="14" t="s">
        <v>2</v>
      </c>
    </row>
    <row r="7" spans="1:23">
      <c r="D7" s="18" t="s">
        <v>14</v>
      </c>
      <c r="E7" s="14">
        <f>pump_efficiency</f>
        <v>0.82</v>
      </c>
    </row>
    <row r="8" spans="1:23">
      <c r="D8" s="18" t="s">
        <v>81</v>
      </c>
      <c r="E8" s="14">
        <f>annual_hours_operation_h_yr</f>
        <v>8400</v>
      </c>
      <c r="F8" s="14" t="s">
        <v>176</v>
      </c>
    </row>
    <row r="9" spans="1:23">
      <c r="A9" s="17"/>
      <c r="B9" s="17"/>
      <c r="D9" s="18" t="s">
        <v>210</v>
      </c>
      <c r="E9" s="14">
        <f>electrical_energy_usd_mwh</f>
        <v>175</v>
      </c>
      <c r="F9" s="14" t="s">
        <v>141</v>
      </c>
    </row>
    <row r="10" spans="1:23">
      <c r="D10" s="18" t="s">
        <v>210</v>
      </c>
      <c r="E10" s="14">
        <f>Projected_MWh/1000</f>
        <v>0.17499999999999999</v>
      </c>
      <c r="F10" s="14" t="s">
        <v>109</v>
      </c>
    </row>
    <row r="11" spans="1:23">
      <c r="D11" s="18" t="s">
        <v>210</v>
      </c>
      <c r="E11" s="14">
        <f>Projected_kWh/1000</f>
        <v>1.75E-4</v>
      </c>
      <c r="F11" s="14" t="s">
        <v>217</v>
      </c>
    </row>
    <row r="12" spans="1:23">
      <c r="D12" s="18" t="s">
        <v>216</v>
      </c>
      <c r="E12" s="119">
        <f ca="1">bare_electricity_yr_1+K20</f>
        <v>17247241.911456712</v>
      </c>
    </row>
    <row r="15" spans="1:23" s="69" customFormat="1" ht="12">
      <c r="A15" s="65" t="str">
        <f>" Analyzed case: Bare. Initial wall thickness = "&amp;ROUND(13.28,2)&amp;" mm; year 25 wall thickness = "&amp;ROUND(D44,2)&amp;" mm. Initial pipe roughness = "&amp;ROUND(B20,2)&amp;" mm; year 25 pipe roughness = "&amp;ROUND(B44,2)&amp;" mm. Fixed parameters: Elevation head = "&amp;Elevation_change&amp;" m; pump efficiency = "&amp;pump_efficiency_percentage&amp;"%; energy cost = "&amp;Projected_MWh&amp;" $/MWh; outside diameter = "&amp;outside_diameter_inches&amp;"''; flow rate = "&amp;design_flow_rate_l_s&amp;" L/s; density of water = "&amp;fluid_density&amp;" kg/m3; viscosity of water = "&amp;dynamic_viscosity_of_water&amp;" Pa·s"</f>
        <v xml:space="preserve"> Analyzed case: Bare. Initial wall thickness = 13.28 mm; year 25 wall thickness = 9.53 mm. Initial pipe roughness = 0.07 mm; year 25 pipe roughness = 0.72 mm. Fixed parameters: Elevation head = 1000 m; pump efficiency = 82%; energy cost = 175 $/MWh; outside diameter = 28''; flow rate = 700 L/s; density of water = 1030 kg/m3; viscosity of water = 0.0013 Pa·s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8"/>
    </row>
    <row r="16" spans="1:23" s="69" customFormat="1" ht="12">
      <c r="A16" s="65" t="str">
        <f>" Analyzed case: Coated. Initial wall thickness = "&amp;ROUND(D48,2)&amp;" mm; year 25 wall thickness = "&amp;ROUND(D72,2)&amp;" mm. Initial pipe roughness = "&amp;ROUND(B48,2)&amp;" mm; year 25 pipe roughness = "&amp;ROUND(B72,2)&amp;" mm. Fixed parameters: Elevation head = "&amp;Elevation_change&amp;" m; pump efficiency = "&amp;pump_efficiency_percentage&amp;"%; energy cost = "&amp;Projected_MWh&amp;" $/kWh; outside diameter = "&amp;outside_diameter_inches&amp;"''; flow rate = "&amp;design_flow_rate_l_s&amp;" L/s; density of water = "&amp;fluid_density&amp;" kg/m3; viscosity of water = "&amp;dynamic_viscosity_of_water&amp;" Pa·s"</f>
        <v xml:space="preserve"> Analyzed case: Coated. Initial wall thickness = 9.53 mm; year 25 wall thickness = 9.53 mm. Initial pipe roughness = 0.02 mm; year 25 pipe roughness = 0.04 mm. Fixed parameters: Elevation head = 1000 m; pump efficiency = 82%; energy cost = 175 $/kWh; outside diameter = 28''; flow rate = 700 L/s; density of water = 1030 kg/m3; viscosity of water = 0.0013 Pa·s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8"/>
    </row>
    <row r="19" spans="1:30" s="20" customFormat="1" ht="43" customHeight="1">
      <c r="A19" s="61" t="s">
        <v>72</v>
      </c>
      <c r="B19" s="61" t="s">
        <v>74</v>
      </c>
      <c r="C19" s="61" t="s">
        <v>76</v>
      </c>
      <c r="D19" s="61" t="s">
        <v>99</v>
      </c>
      <c r="E19" s="61" t="s">
        <v>103</v>
      </c>
      <c r="F19" s="61" t="s">
        <v>120</v>
      </c>
      <c r="G19" s="61" t="s">
        <v>71</v>
      </c>
      <c r="H19" s="61" t="s">
        <v>118</v>
      </c>
      <c r="I19" s="61" t="s">
        <v>117</v>
      </c>
      <c r="J19" s="116" t="s">
        <v>121</v>
      </c>
      <c r="K19" s="116" t="s">
        <v>122</v>
      </c>
      <c r="L19" s="62" t="s">
        <v>77</v>
      </c>
      <c r="M19" s="19" t="s">
        <v>104</v>
      </c>
      <c r="N19" s="19" t="s">
        <v>70</v>
      </c>
      <c r="O19" s="19" t="s">
        <v>105</v>
      </c>
      <c r="P19" s="19" t="s">
        <v>73</v>
      </c>
      <c r="Q19" s="19" t="s">
        <v>78</v>
      </c>
      <c r="R19" s="62" t="s">
        <v>75</v>
      </c>
      <c r="S19" s="62" t="s">
        <v>107</v>
      </c>
      <c r="T19" s="19" t="s">
        <v>97</v>
      </c>
      <c r="U19" s="19" t="s">
        <v>100</v>
      </c>
      <c r="V19" s="19" t="s">
        <v>101</v>
      </c>
      <c r="W19" s="19" t="s">
        <v>102</v>
      </c>
      <c r="X19" s="64"/>
      <c r="Y19" s="64" t="s">
        <v>112</v>
      </c>
      <c r="Z19" s="20" t="s">
        <v>1</v>
      </c>
      <c r="AA19" s="21">
        <f>A20</f>
        <v>1</v>
      </c>
    </row>
    <row r="20" spans="1:30" s="18" customFormat="1">
      <c r="A20" s="22">
        <v>1</v>
      </c>
      <c r="B20" s="23">
        <f t="shared" ref="B20:B44" si="0">P20*1000</f>
        <v>6.8000000000000005E-2</v>
      </c>
      <c r="C20" s="24">
        <f t="shared" ref="C20:C44" si="1">O20*1000</f>
        <v>684.64</v>
      </c>
      <c r="D20" s="25">
        <f t="shared" ref="D20:D44" si="2">N20*1000</f>
        <v>13.28</v>
      </c>
      <c r="E20" s="24">
        <f t="shared" ref="E20:E44" si="3">T20/(PI()*(O20/2)^2)</f>
        <v>1.9014443545059785</v>
      </c>
      <c r="F20" s="26">
        <f t="shared" ref="F20:F44" ca="1" si="4">1/(-2*LOG10((P20/O20)/3.7 + 2.51/(Q20*SQRT(F20+1E-300))))^2</f>
        <v>1.3396264738380228E-2</v>
      </c>
      <c r="G20" s="27">
        <f t="shared" ref="G20:G44" ca="1" si="5">(F20 * pipeline_length * E20^2 ) / (2*gravitational_acceleration * O20)</f>
        <v>360.69325569524273</v>
      </c>
      <c r="H20" s="28">
        <f t="shared" ref="H20:H44" ca="1" si="6">(S20*gravitational_acceleration*T20*(G20)/(pump_efficiency))/1000</f>
        <v>3110.1412244022745</v>
      </c>
      <c r="I20" s="28">
        <f t="shared" ref="I20:I44" si="7">(S20*gravitational_acceleration*T20*(Elevation_change)/(pump_efficiency))/1000</f>
        <v>8622.6764024390268</v>
      </c>
      <c r="J20" s="120">
        <f t="shared" ref="J20:J44" ca="1" si="8">H20*Projected_kWh*annual_hours_operation_h_yr</f>
        <v>4571907.599871343</v>
      </c>
      <c r="K20" s="120">
        <f t="shared" ref="K20:K44" si="9">I20*Projected_kWh*annual_hours_operation_h_yr</f>
        <v>12675334.311585369</v>
      </c>
      <c r="L20" s="29">
        <f t="shared" ref="L20:L44" si="10">dynamic_viscosity_of_water</f>
        <v>1.2999999999999999E-3</v>
      </c>
      <c r="M20" s="15">
        <f t="shared" ref="M20:M44" si="11">outside_diameter</f>
        <v>0.71120000000000005</v>
      </c>
      <c r="N20" s="112">
        <f>bare_wall__yr_1_mm/1000</f>
        <v>1.328E-2</v>
      </c>
      <c r="O20" s="114">
        <f t="shared" ref="O20:O44" si="12">M20-2*N20</f>
        <v>0.68464000000000003</v>
      </c>
      <c r="P20" s="112">
        <f>roughness_bare_yr_1_mm/1000</f>
        <v>6.7999999999999999E-5</v>
      </c>
      <c r="Q20" s="104">
        <f t="shared" ref="Q20:Q44" si="13">S20*E20*O20/L20</f>
        <v>1031430.0067346479</v>
      </c>
      <c r="R20" s="29">
        <f t="shared" ref="R20:R44" si="14">T20*1000</f>
        <v>700</v>
      </c>
      <c r="S20" s="29">
        <f t="shared" ref="S20:S44" si="15">fluid_density</f>
        <v>1030</v>
      </c>
      <c r="T20" s="15">
        <f t="shared" ref="T20:T44" si="16">design_flow_rate</f>
        <v>0.7</v>
      </c>
      <c r="U20" s="33">
        <f t="shared" ref="U20:U44" ca="1" si="17">1/SQRT(F20)</f>
        <v>8.6398885279520368</v>
      </c>
      <c r="V20" s="33">
        <f t="shared" ref="V20:V44" ca="1" si="18">-2 *LOG10(((P20) / (3.7 *O20)) + (2.51 / (Q20* SQRT(F20))))</f>
        <v>8.6398885279520368</v>
      </c>
      <c r="W20" s="34">
        <f t="shared" ref="W20:W44" ca="1" si="19">V20-U20</f>
        <v>0</v>
      </c>
      <c r="X20" s="35"/>
      <c r="AB20" s="17"/>
      <c r="AC20" s="17"/>
      <c r="AD20" s="17"/>
    </row>
    <row r="21" spans="1:30">
      <c r="A21" s="22">
        <v>2</v>
      </c>
      <c r="B21" s="23">
        <f t="shared" si="0"/>
        <v>9.5166666666666663E-2</v>
      </c>
      <c r="C21" s="24">
        <f t="shared" si="1"/>
        <v>684.9525000000001</v>
      </c>
      <c r="D21" s="25">
        <f t="shared" si="2"/>
        <v>13.123749999999999</v>
      </c>
      <c r="E21" s="24">
        <f t="shared" si="3"/>
        <v>1.8997097354988144</v>
      </c>
      <c r="F21" s="26">
        <f t="shared" ca="1" si="4"/>
        <v>1.3937251555253943E-2</v>
      </c>
      <c r="G21" s="27">
        <f t="shared" ca="1" si="5"/>
        <v>374.40402515403258</v>
      </c>
      <c r="H21" s="28">
        <f t="shared" ca="1" si="6"/>
        <v>3228.3647526738637</v>
      </c>
      <c r="I21" s="28">
        <f t="shared" si="7"/>
        <v>8622.6764024390268</v>
      </c>
      <c r="J21" s="120">
        <f t="shared" ca="1" si="8"/>
        <v>4745696.18643058</v>
      </c>
      <c r="K21" s="120">
        <f t="shared" si="9"/>
        <v>12675334.311585369</v>
      </c>
      <c r="L21" s="29">
        <f t="shared" si="10"/>
        <v>1.2999999999999999E-3</v>
      </c>
      <c r="M21" s="15">
        <f t="shared" si="11"/>
        <v>0.71120000000000005</v>
      </c>
      <c r="N21" s="31">
        <f>N20-(N$20-N$44)/24</f>
        <v>1.312375E-2</v>
      </c>
      <c r="O21" s="32">
        <f t="shared" si="12"/>
        <v>0.68495250000000008</v>
      </c>
      <c r="P21" s="31">
        <f t="shared" ref="P21:P43" si="20">P20-(P$20-P$44)/24</f>
        <v>9.5166666666666658E-5</v>
      </c>
      <c r="Q21" s="104">
        <f t="shared" si="13"/>
        <v>1030959.4312172149</v>
      </c>
      <c r="R21" s="29">
        <f t="shared" si="14"/>
        <v>700</v>
      </c>
      <c r="S21" s="29">
        <f t="shared" si="15"/>
        <v>1030</v>
      </c>
      <c r="T21" s="15">
        <f t="shared" si="16"/>
        <v>0.7</v>
      </c>
      <c r="U21" s="33">
        <f t="shared" ca="1" si="17"/>
        <v>8.4705464945113231</v>
      </c>
      <c r="V21" s="33">
        <f t="shared" ca="1" si="18"/>
        <v>8.4705464945113231</v>
      </c>
      <c r="W21" s="34">
        <f t="shared" ca="1" si="19"/>
        <v>0</v>
      </c>
      <c r="X21" s="35"/>
      <c r="Y21" s="35"/>
      <c r="Z21" s="18" t="s">
        <v>85</v>
      </c>
      <c r="AA21" s="17">
        <f>S20</f>
        <v>1030</v>
      </c>
      <c r="AB21" s="17" t="s">
        <v>82</v>
      </c>
      <c r="AC21" s="17" t="s">
        <v>64</v>
      </c>
    </row>
    <row r="22" spans="1:30">
      <c r="A22" s="22">
        <v>3</v>
      </c>
      <c r="B22" s="23">
        <f t="shared" si="0"/>
        <v>0.12233333333333332</v>
      </c>
      <c r="C22" s="24">
        <f t="shared" si="1"/>
        <v>685.26499999999999</v>
      </c>
      <c r="D22" s="25">
        <f t="shared" si="2"/>
        <v>12.967499999999999</v>
      </c>
      <c r="E22" s="24">
        <f t="shared" si="3"/>
        <v>1.8979774890548102</v>
      </c>
      <c r="F22" s="26">
        <f t="shared" ca="1" si="4"/>
        <v>1.4417792839917344E-2</v>
      </c>
      <c r="G22" s="27">
        <f t="shared" ca="1" si="5"/>
        <v>386.43074613769363</v>
      </c>
      <c r="H22" s="28">
        <f t="shared" ca="1" si="6"/>
        <v>3332.067275898396</v>
      </c>
      <c r="I22" s="28">
        <f t="shared" si="7"/>
        <v>8622.6764024390268</v>
      </c>
      <c r="J22" s="120">
        <f t="shared" ca="1" si="8"/>
        <v>4898138.8955706414</v>
      </c>
      <c r="K22" s="120">
        <f t="shared" si="9"/>
        <v>12675334.311585369</v>
      </c>
      <c r="L22" s="29">
        <f t="shared" si="10"/>
        <v>1.2999999999999999E-3</v>
      </c>
      <c r="M22" s="15">
        <f t="shared" si="11"/>
        <v>0.71120000000000005</v>
      </c>
      <c r="N22" s="31">
        <f t="shared" ref="N22:N43" si="21">N21-($N$20-$N$44)/24</f>
        <v>1.29675E-2</v>
      </c>
      <c r="O22" s="32">
        <f t="shared" si="12"/>
        <v>0.68526500000000001</v>
      </c>
      <c r="P22" s="31">
        <f t="shared" si="20"/>
        <v>1.2233333333333332E-4</v>
      </c>
      <c r="Q22" s="104">
        <f t="shared" si="13"/>
        <v>1030489.2848909684</v>
      </c>
      <c r="R22" s="29">
        <f t="shared" si="14"/>
        <v>700</v>
      </c>
      <c r="S22" s="29">
        <f t="shared" si="15"/>
        <v>1030</v>
      </c>
      <c r="T22" s="15">
        <f t="shared" si="16"/>
        <v>0.7</v>
      </c>
      <c r="U22" s="33">
        <f t="shared" ca="1" si="17"/>
        <v>8.3281897083139</v>
      </c>
      <c r="V22" s="33">
        <f t="shared" ca="1" si="18"/>
        <v>8.3281897083139</v>
      </c>
      <c r="W22" s="34">
        <f t="shared" ca="1" si="19"/>
        <v>0</v>
      </c>
      <c r="X22" s="35"/>
      <c r="Y22" s="35">
        <f>design_flow_rate</f>
        <v>0.7</v>
      </c>
      <c r="Z22" s="18" t="s">
        <v>86</v>
      </c>
      <c r="AA22" s="36">
        <f>T20</f>
        <v>0.7</v>
      </c>
      <c r="AB22" s="17" t="s">
        <v>83</v>
      </c>
      <c r="AC22" s="17" t="s">
        <v>96</v>
      </c>
    </row>
    <row r="23" spans="1:30">
      <c r="A23" s="22">
        <v>4</v>
      </c>
      <c r="B23" s="23">
        <f t="shared" si="0"/>
        <v>0.14949999999999997</v>
      </c>
      <c r="C23" s="24">
        <f t="shared" si="1"/>
        <v>685.5775000000001</v>
      </c>
      <c r="D23" s="25">
        <f t="shared" si="2"/>
        <v>12.811249999999999</v>
      </c>
      <c r="E23" s="24">
        <f t="shared" si="3"/>
        <v>1.8962476108491029</v>
      </c>
      <c r="F23" s="26">
        <f t="shared" ca="1" si="4"/>
        <v>1.4852185839743759E-2</v>
      </c>
      <c r="G23" s="27">
        <f t="shared" ca="1" si="5"/>
        <v>397.16707705415382</v>
      </c>
      <c r="H23" s="28">
        <f t="shared" ca="1" si="6"/>
        <v>3424.6431831405339</v>
      </c>
      <c r="I23" s="28">
        <f t="shared" si="7"/>
        <v>8622.6764024390268</v>
      </c>
      <c r="J23" s="120">
        <f t="shared" ca="1" si="8"/>
        <v>5034225.479216584</v>
      </c>
      <c r="K23" s="120">
        <f t="shared" si="9"/>
        <v>12675334.311585369</v>
      </c>
      <c r="L23" s="29">
        <f t="shared" si="10"/>
        <v>1.2999999999999999E-3</v>
      </c>
      <c r="M23" s="15">
        <f t="shared" si="11"/>
        <v>0.71120000000000005</v>
      </c>
      <c r="N23" s="31">
        <f t="shared" si="21"/>
        <v>1.281125E-2</v>
      </c>
      <c r="O23" s="32">
        <f t="shared" si="12"/>
        <v>0.68557750000000006</v>
      </c>
      <c r="P23" s="31">
        <f t="shared" si="20"/>
        <v>1.4949999999999997E-4</v>
      </c>
      <c r="Q23" s="104">
        <f t="shared" si="13"/>
        <v>1030019.5671690061</v>
      </c>
      <c r="R23" s="29">
        <f t="shared" si="14"/>
        <v>700</v>
      </c>
      <c r="S23" s="29">
        <f t="shared" si="15"/>
        <v>1030</v>
      </c>
      <c r="T23" s="15">
        <f t="shared" si="16"/>
        <v>0.7</v>
      </c>
      <c r="U23" s="33">
        <f t="shared" ca="1" si="17"/>
        <v>8.205495518546309</v>
      </c>
      <c r="V23" s="33">
        <f t="shared" ca="1" si="18"/>
        <v>8.205495518546309</v>
      </c>
      <c r="W23" s="34">
        <f t="shared" ca="1" si="19"/>
        <v>0</v>
      </c>
      <c r="X23" s="35"/>
      <c r="Y23" s="35"/>
      <c r="Z23" s="18" t="s">
        <v>87</v>
      </c>
      <c r="AA23" s="36">
        <f>L20</f>
        <v>1.2999999999999999E-3</v>
      </c>
      <c r="AB23" s="17" t="s">
        <v>84</v>
      </c>
    </row>
    <row r="24" spans="1:30">
      <c r="A24" s="22">
        <v>5</v>
      </c>
      <c r="B24" s="23">
        <f t="shared" si="0"/>
        <v>0.17666666666666664</v>
      </c>
      <c r="C24" s="24">
        <f t="shared" si="1"/>
        <v>685.8900000000001</v>
      </c>
      <c r="D24" s="25">
        <f t="shared" si="2"/>
        <v>12.654999999999999</v>
      </c>
      <c r="E24" s="24">
        <f t="shared" si="3"/>
        <v>1.894520096566682</v>
      </c>
      <c r="F24" s="26">
        <f t="shared" ca="1" si="4"/>
        <v>1.5250050163666661E-2</v>
      </c>
      <c r="G24" s="27">
        <f t="shared" ca="1" si="5"/>
        <v>406.87833250602495</v>
      </c>
      <c r="H24" s="28">
        <f t="shared" ca="1" si="6"/>
        <v>3508.3801963634405</v>
      </c>
      <c r="I24" s="28">
        <f t="shared" si="7"/>
        <v>8622.6764024390268</v>
      </c>
      <c r="J24" s="120">
        <f t="shared" ca="1" si="8"/>
        <v>5157318.8886542572</v>
      </c>
      <c r="K24" s="120">
        <f t="shared" si="9"/>
        <v>12675334.311585369</v>
      </c>
      <c r="L24" s="29">
        <f t="shared" si="10"/>
        <v>1.2999999999999999E-3</v>
      </c>
      <c r="M24" s="15">
        <f t="shared" si="11"/>
        <v>0.71120000000000005</v>
      </c>
      <c r="N24" s="31">
        <f t="shared" si="21"/>
        <v>1.2655E-2</v>
      </c>
      <c r="O24" s="32">
        <f t="shared" si="12"/>
        <v>0.68589000000000011</v>
      </c>
      <c r="P24" s="31">
        <f t="shared" si="20"/>
        <v>1.7666666666666663E-4</v>
      </c>
      <c r="Q24" s="104">
        <f t="shared" si="13"/>
        <v>1029550.2774654964</v>
      </c>
      <c r="R24" s="29">
        <f t="shared" si="14"/>
        <v>700</v>
      </c>
      <c r="S24" s="29">
        <f t="shared" si="15"/>
        <v>1030</v>
      </c>
      <c r="T24" s="15">
        <f t="shared" si="16"/>
        <v>0.7</v>
      </c>
      <c r="U24" s="33">
        <f t="shared" ca="1" si="17"/>
        <v>8.0977499833466418</v>
      </c>
      <c r="V24" s="33">
        <f t="shared" ca="1" si="18"/>
        <v>8.0977499833466435</v>
      </c>
      <c r="W24" s="34">
        <f t="shared" ca="1" si="19"/>
        <v>0</v>
      </c>
      <c r="X24" s="35"/>
      <c r="Y24" s="35"/>
      <c r="Z24" s="18" t="s">
        <v>88</v>
      </c>
      <c r="AA24" s="36">
        <f>M20</f>
        <v>0.71120000000000005</v>
      </c>
      <c r="AB24" s="17" t="s">
        <v>2</v>
      </c>
    </row>
    <row r="25" spans="1:30">
      <c r="A25" s="22">
        <v>6</v>
      </c>
      <c r="B25" s="23">
        <f t="shared" si="0"/>
        <v>0.20383333333333328</v>
      </c>
      <c r="C25" s="24">
        <f t="shared" si="1"/>
        <v>686.2025000000001</v>
      </c>
      <c r="D25" s="25">
        <f t="shared" si="2"/>
        <v>12.498749999999999</v>
      </c>
      <c r="E25" s="24">
        <f t="shared" si="3"/>
        <v>1.8927949419023589</v>
      </c>
      <c r="F25" s="26">
        <f t="shared" ca="1" si="4"/>
        <v>1.5618187745167487E-2</v>
      </c>
      <c r="G25" s="27">
        <f t="shared" ca="1" si="5"/>
        <v>415.75243873098674</v>
      </c>
      <c r="H25" s="28">
        <f t="shared" ca="1" si="6"/>
        <v>3584.8987427021557</v>
      </c>
      <c r="I25" s="28">
        <f t="shared" si="7"/>
        <v>8622.6764024390268</v>
      </c>
      <c r="J25" s="120">
        <f t="shared" ca="1" si="8"/>
        <v>5269801.1517721685</v>
      </c>
      <c r="K25" s="120">
        <f t="shared" si="9"/>
        <v>12675334.311585369</v>
      </c>
      <c r="L25" s="29">
        <f t="shared" si="10"/>
        <v>1.2999999999999999E-3</v>
      </c>
      <c r="M25" s="15">
        <f t="shared" si="11"/>
        <v>0.71120000000000005</v>
      </c>
      <c r="N25" s="31">
        <f t="shared" si="21"/>
        <v>1.2498749999999999E-2</v>
      </c>
      <c r="O25" s="32">
        <f t="shared" si="12"/>
        <v>0.68620250000000005</v>
      </c>
      <c r="P25" s="31">
        <f t="shared" si="20"/>
        <v>2.0383333333333329E-4</v>
      </c>
      <c r="Q25" s="104">
        <f t="shared" si="13"/>
        <v>1029081.4151956741</v>
      </c>
      <c r="R25" s="29">
        <f t="shared" si="14"/>
        <v>700</v>
      </c>
      <c r="S25" s="29">
        <f t="shared" si="15"/>
        <v>1030</v>
      </c>
      <c r="T25" s="15">
        <f t="shared" si="16"/>
        <v>0.7</v>
      </c>
      <c r="U25" s="33">
        <f t="shared" ca="1" si="17"/>
        <v>8.0017445076913383</v>
      </c>
      <c r="V25" s="33">
        <f t="shared" ca="1" si="18"/>
        <v>8.0017445076913383</v>
      </c>
      <c r="W25" s="34">
        <f t="shared" ca="1" si="19"/>
        <v>0</v>
      </c>
      <c r="X25" s="35"/>
      <c r="Y25" s="35"/>
      <c r="Z25" s="18" t="s">
        <v>89</v>
      </c>
      <c r="AA25" s="17">
        <f>O20</f>
        <v>0.68464000000000003</v>
      </c>
      <c r="AB25" s="17" t="s">
        <v>2</v>
      </c>
    </row>
    <row r="26" spans="1:30">
      <c r="A26" s="22">
        <v>7</v>
      </c>
      <c r="B26" s="23">
        <f t="shared" si="0"/>
        <v>0.23099999999999996</v>
      </c>
      <c r="C26" s="24">
        <f t="shared" si="1"/>
        <v>686.5150000000001</v>
      </c>
      <c r="D26" s="25">
        <f t="shared" si="2"/>
        <v>12.342499999999999</v>
      </c>
      <c r="E26" s="24">
        <f t="shared" si="3"/>
        <v>1.89107214256074</v>
      </c>
      <c r="F26" s="26">
        <f t="shared" ca="1" si="4"/>
        <v>1.5961597855822608E-2</v>
      </c>
      <c r="G26" s="27">
        <f t="shared" ca="1" si="5"/>
        <v>423.92776054712533</v>
      </c>
      <c r="H26" s="28">
        <f t="shared" ca="1" si="6"/>
        <v>3655.3918972085194</v>
      </c>
      <c r="I26" s="28">
        <f t="shared" si="7"/>
        <v>8622.6764024390268</v>
      </c>
      <c r="J26" s="120">
        <f t="shared" ca="1" si="8"/>
        <v>5373426.0888965232</v>
      </c>
      <c r="K26" s="120">
        <f t="shared" si="9"/>
        <v>12675334.311585369</v>
      </c>
      <c r="L26" s="29">
        <f t="shared" si="10"/>
        <v>1.2999999999999999E-3</v>
      </c>
      <c r="M26" s="15">
        <f t="shared" si="11"/>
        <v>0.71120000000000005</v>
      </c>
      <c r="N26" s="31">
        <f t="shared" si="21"/>
        <v>1.2342499999999999E-2</v>
      </c>
      <c r="O26" s="32">
        <f t="shared" si="12"/>
        <v>0.6865150000000001</v>
      </c>
      <c r="P26" s="31">
        <f t="shared" si="20"/>
        <v>2.3099999999999995E-4</v>
      </c>
      <c r="Q26" s="104">
        <f t="shared" si="13"/>
        <v>1028612.9797758377</v>
      </c>
      <c r="R26" s="29">
        <f t="shared" si="14"/>
        <v>700</v>
      </c>
      <c r="S26" s="29">
        <f t="shared" si="15"/>
        <v>1030</v>
      </c>
      <c r="T26" s="15">
        <f t="shared" si="16"/>
        <v>0.7</v>
      </c>
      <c r="U26" s="33">
        <f t="shared" ca="1" si="17"/>
        <v>7.9151986255634279</v>
      </c>
      <c r="V26" s="33">
        <f t="shared" ca="1" si="18"/>
        <v>7.9151986255634279</v>
      </c>
      <c r="W26" s="34">
        <f t="shared" ca="1" si="19"/>
        <v>0</v>
      </c>
      <c r="X26" s="35"/>
      <c r="Y26" s="35"/>
      <c r="Z26" s="18" t="s">
        <v>90</v>
      </c>
      <c r="AA26" s="17">
        <f>N20</f>
        <v>1.328E-2</v>
      </c>
      <c r="AB26" s="17" t="s">
        <v>2</v>
      </c>
    </row>
    <row r="27" spans="1:30">
      <c r="A27" s="22">
        <v>8</v>
      </c>
      <c r="B27" s="23">
        <f t="shared" si="0"/>
        <v>0.25816666666666666</v>
      </c>
      <c r="C27" s="24">
        <f t="shared" si="1"/>
        <v>686.82749999999999</v>
      </c>
      <c r="D27" s="25">
        <f t="shared" si="2"/>
        <v>12.186249999999999</v>
      </c>
      <c r="E27" s="24">
        <f t="shared" si="3"/>
        <v>1.8893516942562045</v>
      </c>
      <c r="F27" s="26">
        <f t="shared" ca="1" si="4"/>
        <v>1.6284070426168574E-2</v>
      </c>
      <c r="G27" s="27">
        <f t="shared" ca="1" si="5"/>
        <v>431.50937920633629</v>
      </c>
      <c r="H27" s="28">
        <f t="shared" ca="1" si="6"/>
        <v>3720.7657415135891</v>
      </c>
      <c r="I27" s="28">
        <f t="shared" si="7"/>
        <v>8622.6764024390268</v>
      </c>
      <c r="J27" s="120">
        <f t="shared" ca="1" si="8"/>
        <v>5469525.6400249749</v>
      </c>
      <c r="K27" s="120">
        <f t="shared" si="9"/>
        <v>12675334.311585369</v>
      </c>
      <c r="L27" s="29">
        <f t="shared" si="10"/>
        <v>1.2999999999999999E-3</v>
      </c>
      <c r="M27" s="15">
        <f t="shared" si="11"/>
        <v>0.71120000000000005</v>
      </c>
      <c r="N27" s="31">
        <f t="shared" si="21"/>
        <v>1.2186249999999999E-2</v>
      </c>
      <c r="O27" s="32">
        <f t="shared" si="12"/>
        <v>0.68682750000000004</v>
      </c>
      <c r="P27" s="31">
        <f t="shared" si="20"/>
        <v>2.5816666666666664E-4</v>
      </c>
      <c r="Q27" s="104">
        <f t="shared" si="13"/>
        <v>1028144.9706233508</v>
      </c>
      <c r="R27" s="29">
        <f t="shared" si="14"/>
        <v>700</v>
      </c>
      <c r="S27" s="29">
        <f t="shared" si="15"/>
        <v>1030</v>
      </c>
      <c r="T27" s="15">
        <f t="shared" si="16"/>
        <v>0.7</v>
      </c>
      <c r="U27" s="33">
        <f t="shared" ca="1" si="17"/>
        <v>7.8364346096082107</v>
      </c>
      <c r="V27" s="33">
        <f t="shared" ca="1" si="18"/>
        <v>7.8364346096082107</v>
      </c>
      <c r="W27" s="34">
        <f t="shared" ca="1" si="19"/>
        <v>0</v>
      </c>
      <c r="X27" s="35"/>
      <c r="Y27" s="35"/>
      <c r="Z27" s="18" t="s">
        <v>91</v>
      </c>
      <c r="AA27" s="36">
        <f>P20</f>
        <v>6.7999999999999999E-5</v>
      </c>
      <c r="AB27" s="17" t="s">
        <v>2</v>
      </c>
    </row>
    <row r="28" spans="1:30">
      <c r="A28" s="22">
        <v>9</v>
      </c>
      <c r="B28" s="23">
        <f t="shared" si="0"/>
        <v>0.28533333333333327</v>
      </c>
      <c r="C28" s="24">
        <f t="shared" si="1"/>
        <v>687.1400000000001</v>
      </c>
      <c r="D28" s="25">
        <f t="shared" si="2"/>
        <v>12.03</v>
      </c>
      <c r="E28" s="24">
        <f t="shared" si="3"/>
        <v>1.8876335927128711</v>
      </c>
      <c r="F28" s="26">
        <f t="shared" ca="1" si="4"/>
        <v>1.6588552355868553E-2</v>
      </c>
      <c r="G28" s="27">
        <f t="shared" ca="1" si="5"/>
        <v>438.57914955310173</v>
      </c>
      <c r="H28" s="28">
        <f t="shared" ca="1" si="6"/>
        <v>3781.7260834533063</v>
      </c>
      <c r="I28" s="28">
        <f t="shared" si="7"/>
        <v>8622.6764024390268</v>
      </c>
      <c r="J28" s="120">
        <f t="shared" ca="1" si="8"/>
        <v>5559137.3426763592</v>
      </c>
      <c r="K28" s="120">
        <f t="shared" si="9"/>
        <v>12675334.311585369</v>
      </c>
      <c r="L28" s="29">
        <f t="shared" si="10"/>
        <v>1.2999999999999999E-3</v>
      </c>
      <c r="M28" s="15">
        <f t="shared" si="11"/>
        <v>0.71120000000000005</v>
      </c>
      <c r="N28" s="31">
        <f t="shared" si="21"/>
        <v>1.2029999999999999E-2</v>
      </c>
      <c r="O28" s="32">
        <f t="shared" si="12"/>
        <v>0.68714000000000008</v>
      </c>
      <c r="P28" s="31">
        <f t="shared" si="20"/>
        <v>2.8533333333333329E-4</v>
      </c>
      <c r="Q28" s="104">
        <f t="shared" si="13"/>
        <v>1027677.387156634</v>
      </c>
      <c r="R28" s="29">
        <f t="shared" si="14"/>
        <v>700</v>
      </c>
      <c r="S28" s="29">
        <f t="shared" si="15"/>
        <v>1030</v>
      </c>
      <c r="T28" s="15">
        <f t="shared" si="16"/>
        <v>0.7</v>
      </c>
      <c r="U28" s="33">
        <f t="shared" ca="1" si="17"/>
        <v>7.7641828754785251</v>
      </c>
      <c r="V28" s="33">
        <f t="shared" ca="1" si="18"/>
        <v>7.764182875478526</v>
      </c>
      <c r="W28" s="34">
        <f t="shared" ca="1" si="19"/>
        <v>0</v>
      </c>
      <c r="X28" s="35"/>
      <c r="Y28" s="35"/>
      <c r="Z28" s="18" t="s">
        <v>92</v>
      </c>
      <c r="AA28" s="36">
        <f>E20</f>
        <v>1.9014443545059785</v>
      </c>
      <c r="AB28" s="17" t="s">
        <v>26</v>
      </c>
    </row>
    <row r="29" spans="1:30">
      <c r="A29" s="22">
        <v>10</v>
      </c>
      <c r="B29" s="23">
        <f t="shared" si="0"/>
        <v>0.31249999999999994</v>
      </c>
      <c r="C29" s="24">
        <f t="shared" si="1"/>
        <v>687.45249999999999</v>
      </c>
      <c r="D29" s="25">
        <f t="shared" si="2"/>
        <v>11.873749999999999</v>
      </c>
      <c r="E29" s="24">
        <f t="shared" si="3"/>
        <v>1.8859178336645772</v>
      </c>
      <c r="F29" s="26">
        <f t="shared" ca="1" si="4"/>
        <v>1.6877383969230612E-2</v>
      </c>
      <c r="G29" s="27">
        <f t="shared" ca="1" si="5"/>
        <v>445.20219681317587</v>
      </c>
      <c r="H29" s="28">
        <f t="shared" ca="1" si="6"/>
        <v>3838.8344767749863</v>
      </c>
      <c r="I29" s="28">
        <f t="shared" si="7"/>
        <v>8622.6764024390268</v>
      </c>
      <c r="J29" s="120">
        <f t="shared" ca="1" si="8"/>
        <v>5643086.6808592295</v>
      </c>
      <c r="K29" s="120">
        <f t="shared" si="9"/>
        <v>12675334.311585369</v>
      </c>
      <c r="L29" s="29">
        <f t="shared" si="10"/>
        <v>1.2999999999999999E-3</v>
      </c>
      <c r="M29" s="15">
        <f t="shared" si="11"/>
        <v>0.71120000000000005</v>
      </c>
      <c r="N29" s="31">
        <f t="shared" si="21"/>
        <v>1.1873749999999999E-2</v>
      </c>
      <c r="O29" s="32">
        <f t="shared" si="12"/>
        <v>0.68745250000000002</v>
      </c>
      <c r="P29" s="31">
        <f t="shared" si="20"/>
        <v>3.1249999999999995E-4</v>
      </c>
      <c r="Q29" s="104">
        <f t="shared" si="13"/>
        <v>1027210.2287951668</v>
      </c>
      <c r="R29" s="29">
        <f t="shared" si="14"/>
        <v>700</v>
      </c>
      <c r="S29" s="29">
        <f t="shared" si="15"/>
        <v>1030</v>
      </c>
      <c r="T29" s="15">
        <f t="shared" si="16"/>
        <v>0.7</v>
      </c>
      <c r="U29" s="33">
        <f t="shared" ca="1" si="17"/>
        <v>7.6974598896550921</v>
      </c>
      <c r="V29" s="33">
        <f t="shared" ca="1" si="18"/>
        <v>7.697459889655093</v>
      </c>
      <c r="W29" s="34">
        <f t="shared" ca="1" si="19"/>
        <v>0</v>
      </c>
      <c r="X29" s="35"/>
      <c r="Y29" s="35"/>
      <c r="Z29" s="18" t="s">
        <v>79</v>
      </c>
      <c r="AA29" s="37">
        <f>Q20</f>
        <v>1031430.0067346479</v>
      </c>
      <c r="AB29" s="17" t="s">
        <v>2</v>
      </c>
    </row>
    <row r="30" spans="1:30">
      <c r="A30" s="22">
        <v>11</v>
      </c>
      <c r="B30" s="23">
        <f t="shared" si="0"/>
        <v>0.33966666666666662</v>
      </c>
      <c r="C30" s="24">
        <f t="shared" si="1"/>
        <v>687.7650000000001</v>
      </c>
      <c r="D30" s="25">
        <f t="shared" si="2"/>
        <v>11.717499999999999</v>
      </c>
      <c r="E30" s="24">
        <f t="shared" si="3"/>
        <v>1.8842044128548492</v>
      </c>
      <c r="F30" s="26">
        <f t="shared" ca="1" si="4"/>
        <v>1.7152457400475295E-2</v>
      </c>
      <c r="G30" s="27">
        <f t="shared" ca="1" si="5"/>
        <v>451.43127161753102</v>
      </c>
      <c r="H30" s="28">
        <f t="shared" ca="1" si="6"/>
        <v>3892.5457730995267</v>
      </c>
      <c r="I30" s="28">
        <f t="shared" si="7"/>
        <v>8622.6764024390268</v>
      </c>
      <c r="J30" s="120">
        <f t="shared" ca="1" si="8"/>
        <v>5722042.2864563037</v>
      </c>
      <c r="K30" s="120">
        <f t="shared" si="9"/>
        <v>12675334.311585369</v>
      </c>
      <c r="L30" s="29">
        <f t="shared" si="10"/>
        <v>1.2999999999999999E-3</v>
      </c>
      <c r="M30" s="15">
        <f t="shared" si="11"/>
        <v>0.71120000000000005</v>
      </c>
      <c r="N30" s="31">
        <f t="shared" si="21"/>
        <v>1.1717499999999999E-2</v>
      </c>
      <c r="O30" s="32">
        <f t="shared" si="12"/>
        <v>0.68776500000000007</v>
      </c>
      <c r="P30" s="31">
        <f t="shared" si="20"/>
        <v>3.3966666666666661E-4</v>
      </c>
      <c r="Q30" s="104">
        <f t="shared" si="13"/>
        <v>1026743.4949594839</v>
      </c>
      <c r="R30" s="29">
        <f t="shared" si="14"/>
        <v>700</v>
      </c>
      <c r="S30" s="29">
        <f t="shared" si="15"/>
        <v>1030</v>
      </c>
      <c r="T30" s="15">
        <f t="shared" si="16"/>
        <v>0.7</v>
      </c>
      <c r="U30" s="33">
        <f t="shared" ca="1" si="17"/>
        <v>7.6354884633614066</v>
      </c>
      <c r="V30" s="33">
        <f t="shared" ca="1" si="18"/>
        <v>7.6354884633614075</v>
      </c>
      <c r="W30" s="34">
        <f t="shared" ca="1" si="19"/>
        <v>0</v>
      </c>
      <c r="X30" s="35"/>
      <c r="Y30" s="35"/>
      <c r="Z30" s="18" t="s">
        <v>80</v>
      </c>
      <c r="AA30" s="17">
        <f ca="1">F20</f>
        <v>1.3396264738380228E-2</v>
      </c>
    </row>
    <row r="31" spans="1:30" ht="14">
      <c r="A31" s="22">
        <v>12</v>
      </c>
      <c r="B31" s="23">
        <f t="shared" si="0"/>
        <v>0.36683333333333329</v>
      </c>
      <c r="C31" s="24">
        <f t="shared" si="1"/>
        <v>688.07749999999999</v>
      </c>
      <c r="D31" s="25">
        <f t="shared" si="2"/>
        <v>11.561249999999999</v>
      </c>
      <c r="E31" s="24">
        <f t="shared" si="3"/>
        <v>1.8824933260368772</v>
      </c>
      <c r="F31" s="26">
        <f t="shared" ca="1" si="4"/>
        <v>1.7415326049563255E-2</v>
      </c>
      <c r="G31" s="27">
        <f t="shared" ca="1" si="5"/>
        <v>457.30976192782447</v>
      </c>
      <c r="H31" s="28">
        <f t="shared" ca="1" si="6"/>
        <v>3943.2340927800601</v>
      </c>
      <c r="I31" s="28">
        <f t="shared" si="7"/>
        <v>8622.6764024390268</v>
      </c>
      <c r="J31" s="120">
        <f t="shared" ca="1" si="8"/>
        <v>5796554.1163866883</v>
      </c>
      <c r="K31" s="120">
        <f t="shared" si="9"/>
        <v>12675334.311585369</v>
      </c>
      <c r="L31" s="29">
        <f t="shared" si="10"/>
        <v>1.2999999999999999E-3</v>
      </c>
      <c r="M31" s="15">
        <f t="shared" si="11"/>
        <v>0.71120000000000005</v>
      </c>
      <c r="N31" s="31">
        <f t="shared" si="21"/>
        <v>1.1561249999999999E-2</v>
      </c>
      <c r="O31" s="32">
        <f t="shared" si="12"/>
        <v>0.68807750000000001</v>
      </c>
      <c r="P31" s="31">
        <f t="shared" si="20"/>
        <v>3.6683333333333327E-4</v>
      </c>
      <c r="Q31" s="104">
        <f t="shared" si="13"/>
        <v>1026277.1850711721</v>
      </c>
      <c r="R31" s="29">
        <f t="shared" si="14"/>
        <v>700</v>
      </c>
      <c r="S31" s="29">
        <f t="shared" si="15"/>
        <v>1030</v>
      </c>
      <c r="T31" s="15">
        <f t="shared" si="16"/>
        <v>0.7</v>
      </c>
      <c r="U31" s="33">
        <f t="shared" ca="1" si="17"/>
        <v>7.5776439477214401</v>
      </c>
      <c r="V31" s="33">
        <f t="shared" ca="1" si="18"/>
        <v>7.5776439477214392</v>
      </c>
      <c r="W31" s="34">
        <f t="shared" ca="1" si="19"/>
        <v>0</v>
      </c>
      <c r="X31" s="35"/>
      <c r="Y31" s="35"/>
      <c r="Z31" s="38" t="s">
        <v>110</v>
      </c>
      <c r="AA31" s="39">
        <f ca="1">G20</f>
        <v>360.69325569524273</v>
      </c>
      <c r="AB31" s="17" t="s">
        <v>2</v>
      </c>
    </row>
    <row r="32" spans="1:30">
      <c r="A32" s="22">
        <v>13</v>
      </c>
      <c r="B32" s="23">
        <f t="shared" si="0"/>
        <v>0.39399999999999991</v>
      </c>
      <c r="C32" s="24">
        <f t="shared" si="1"/>
        <v>688.3900000000001</v>
      </c>
      <c r="D32" s="25">
        <f t="shared" si="2"/>
        <v>11.404999999999998</v>
      </c>
      <c r="E32" s="24">
        <f t="shared" si="3"/>
        <v>1.8807845689734883</v>
      </c>
      <c r="F32" s="26">
        <f t="shared" ca="1" si="4"/>
        <v>1.7667282271520542E-2</v>
      </c>
      <c r="G32" s="27">
        <f t="shared" ca="1" si="5"/>
        <v>462.87383247096852</v>
      </c>
      <c r="H32" s="28">
        <f t="shared" ca="1" si="6"/>
        <v>3991.2112725539346</v>
      </c>
      <c r="I32" s="28">
        <f t="shared" si="7"/>
        <v>8622.6764024390268</v>
      </c>
      <c r="J32" s="120">
        <f t="shared" ca="1" si="8"/>
        <v>5867080.5706542833</v>
      </c>
      <c r="K32" s="120">
        <f t="shared" si="9"/>
        <v>12675334.311585369</v>
      </c>
      <c r="L32" s="29">
        <f t="shared" si="10"/>
        <v>1.2999999999999999E-3</v>
      </c>
      <c r="M32" s="15">
        <f t="shared" si="11"/>
        <v>0.71120000000000005</v>
      </c>
      <c r="N32" s="31">
        <f t="shared" si="21"/>
        <v>1.1404999999999998E-2</v>
      </c>
      <c r="O32" s="32">
        <f t="shared" si="12"/>
        <v>0.68839000000000006</v>
      </c>
      <c r="P32" s="31">
        <f t="shared" si="20"/>
        <v>3.9399999999999993E-4</v>
      </c>
      <c r="Q32" s="104">
        <f t="shared" si="13"/>
        <v>1025811.298552869</v>
      </c>
      <c r="R32" s="29">
        <f t="shared" si="14"/>
        <v>700</v>
      </c>
      <c r="S32" s="29">
        <f t="shared" si="15"/>
        <v>1030</v>
      </c>
      <c r="T32" s="15">
        <f t="shared" si="16"/>
        <v>0.7</v>
      </c>
      <c r="U32" s="33">
        <f t="shared" ca="1" si="17"/>
        <v>7.5234168609462309</v>
      </c>
      <c r="V32" s="33">
        <f t="shared" ca="1" si="18"/>
        <v>7.5234168609462309</v>
      </c>
      <c r="W32" s="34">
        <f t="shared" ca="1" si="19"/>
        <v>0</v>
      </c>
      <c r="X32" s="35"/>
      <c r="Y32" s="35"/>
      <c r="Z32" s="18" t="s">
        <v>111</v>
      </c>
      <c r="AA32" s="40">
        <f>Elevation_change</f>
        <v>1000</v>
      </c>
      <c r="AB32" s="17" t="s">
        <v>2</v>
      </c>
    </row>
    <row r="33" spans="1:28">
      <c r="A33" s="22">
        <v>14</v>
      </c>
      <c r="B33" s="23">
        <f t="shared" si="0"/>
        <v>0.42116666666666658</v>
      </c>
      <c r="C33" s="24">
        <f t="shared" si="1"/>
        <v>688.7025000000001</v>
      </c>
      <c r="D33" s="25">
        <f t="shared" si="2"/>
        <v>11.248749999999998</v>
      </c>
      <c r="E33" s="24">
        <f t="shared" si="3"/>
        <v>1.8790781374371202</v>
      </c>
      <c r="F33" s="26">
        <f t="shared" ca="1" si="4"/>
        <v>1.7909413807636207E-2</v>
      </c>
      <c r="G33" s="27">
        <f t="shared" ca="1" si="5"/>
        <v>468.15397995887975</v>
      </c>
      <c r="H33" s="28">
        <f t="shared" ca="1" si="6"/>
        <v>4036.7402756993442</v>
      </c>
      <c r="I33" s="28">
        <f t="shared" si="7"/>
        <v>8622.6764024390268</v>
      </c>
      <c r="J33" s="120">
        <f t="shared" ca="1" si="8"/>
        <v>5934008.2052780362</v>
      </c>
      <c r="K33" s="120">
        <f t="shared" si="9"/>
        <v>12675334.311585369</v>
      </c>
      <c r="L33" s="29">
        <f t="shared" si="10"/>
        <v>1.2999999999999999E-3</v>
      </c>
      <c r="M33" s="15">
        <f t="shared" si="11"/>
        <v>0.71120000000000005</v>
      </c>
      <c r="N33" s="31">
        <f t="shared" si="21"/>
        <v>1.1248749999999998E-2</v>
      </c>
      <c r="O33" s="32">
        <f t="shared" si="12"/>
        <v>0.68870250000000011</v>
      </c>
      <c r="P33" s="31">
        <f t="shared" si="20"/>
        <v>4.2116666666666659E-4</v>
      </c>
      <c r="Q33" s="104">
        <f t="shared" si="13"/>
        <v>1025345.8348282593</v>
      </c>
      <c r="R33" s="29">
        <f t="shared" si="14"/>
        <v>700</v>
      </c>
      <c r="S33" s="29">
        <f t="shared" si="15"/>
        <v>1030</v>
      </c>
      <c r="T33" s="15">
        <f t="shared" si="16"/>
        <v>0.7</v>
      </c>
      <c r="U33" s="33">
        <f t="shared" ca="1" si="17"/>
        <v>7.4723862805685206</v>
      </c>
      <c r="V33" s="33">
        <f t="shared" ca="1" si="18"/>
        <v>7.4723862805685215</v>
      </c>
      <c r="W33" s="34">
        <f t="shared" ca="1" si="19"/>
        <v>0</v>
      </c>
      <c r="X33" s="35"/>
      <c r="Y33" s="35"/>
      <c r="Z33" s="18" t="s">
        <v>81</v>
      </c>
      <c r="AA33" s="17">
        <f>annual_hours_operation_h_yr</f>
        <v>8400</v>
      </c>
      <c r="AB33" s="17" t="s">
        <v>11</v>
      </c>
    </row>
    <row r="34" spans="1:28">
      <c r="A34" s="22">
        <v>15</v>
      </c>
      <c r="B34" s="23">
        <f t="shared" si="0"/>
        <v>0.44833333333333325</v>
      </c>
      <c r="C34" s="24">
        <f t="shared" si="1"/>
        <v>689.0150000000001</v>
      </c>
      <c r="D34" s="25">
        <f t="shared" si="2"/>
        <v>11.092499999999998</v>
      </c>
      <c r="E34" s="24">
        <f t="shared" si="3"/>
        <v>1.8773740272097972</v>
      </c>
      <c r="F34" s="26">
        <f t="shared" ca="1" si="4"/>
        <v>1.8142645611462359E-2</v>
      </c>
      <c r="G34" s="27">
        <f t="shared" ca="1" si="5"/>
        <v>473.17618669040883</v>
      </c>
      <c r="H34" s="28">
        <f t="shared" ca="1" si="6"/>
        <v>4080.045139171471</v>
      </c>
      <c r="I34" s="28">
        <f t="shared" si="7"/>
        <v>8622.6764024390268</v>
      </c>
      <c r="J34" s="120">
        <f t="shared" ca="1" si="8"/>
        <v>5997666.354582062</v>
      </c>
      <c r="K34" s="120">
        <f t="shared" si="9"/>
        <v>12675334.311585369</v>
      </c>
      <c r="L34" s="29">
        <f t="shared" si="10"/>
        <v>1.2999999999999999E-3</v>
      </c>
      <c r="M34" s="15">
        <f t="shared" si="11"/>
        <v>0.71120000000000005</v>
      </c>
      <c r="N34" s="31">
        <f t="shared" si="21"/>
        <v>1.1092499999999998E-2</v>
      </c>
      <c r="O34" s="32">
        <f t="shared" si="12"/>
        <v>0.68901500000000004</v>
      </c>
      <c r="P34" s="31">
        <f t="shared" si="20"/>
        <v>4.4833333333333324E-4</v>
      </c>
      <c r="Q34" s="104">
        <f t="shared" si="13"/>
        <v>1024880.7933220748</v>
      </c>
      <c r="R34" s="29">
        <f t="shared" si="14"/>
        <v>700</v>
      </c>
      <c r="S34" s="29">
        <f t="shared" si="15"/>
        <v>1030</v>
      </c>
      <c r="T34" s="15">
        <f t="shared" si="16"/>
        <v>0.7</v>
      </c>
      <c r="U34" s="33">
        <f t="shared" ca="1" si="17"/>
        <v>7.4242004874178722</v>
      </c>
      <c r="V34" s="33">
        <f t="shared" ca="1" si="18"/>
        <v>7.4242004874178731</v>
      </c>
      <c r="W34" s="34">
        <f t="shared" ca="1" si="19"/>
        <v>0</v>
      </c>
      <c r="X34" s="35"/>
      <c r="Y34" s="35"/>
      <c r="Z34" s="18" t="s">
        <v>93</v>
      </c>
      <c r="AA34" s="17">
        <f>pump_efficiency</f>
        <v>0.82</v>
      </c>
      <c r="AB34" s="17" t="s">
        <v>22</v>
      </c>
    </row>
    <row r="35" spans="1:28">
      <c r="A35" s="22">
        <v>16</v>
      </c>
      <c r="B35" s="23">
        <f t="shared" si="0"/>
        <v>0.47549999999999992</v>
      </c>
      <c r="C35" s="24">
        <f t="shared" si="1"/>
        <v>689.3275000000001</v>
      </c>
      <c r="D35" s="25">
        <f t="shared" si="2"/>
        <v>10.936249999999998</v>
      </c>
      <c r="E35" s="24">
        <f t="shared" si="3"/>
        <v>1.8756722340830994</v>
      </c>
      <c r="F35" s="26">
        <f t="shared" ca="1" si="4"/>
        <v>1.8367771406277059E-2</v>
      </c>
      <c r="G35" s="27">
        <f t="shared" ca="1" si="5"/>
        <v>477.96279161723231</v>
      </c>
      <c r="H35" s="28">
        <f t="shared" ca="1" si="6"/>
        <v>4121.3184845217902</v>
      </c>
      <c r="I35" s="28">
        <f t="shared" si="7"/>
        <v>8622.6764024390268</v>
      </c>
      <c r="J35" s="120">
        <f t="shared" ca="1" si="8"/>
        <v>6058338.1722470308</v>
      </c>
      <c r="K35" s="120">
        <f t="shared" si="9"/>
        <v>12675334.311585369</v>
      </c>
      <c r="L35" s="29">
        <f t="shared" si="10"/>
        <v>1.2999999999999999E-3</v>
      </c>
      <c r="M35" s="15">
        <f t="shared" si="11"/>
        <v>0.71120000000000005</v>
      </c>
      <c r="N35" s="31">
        <f t="shared" si="21"/>
        <v>1.0936249999999998E-2</v>
      </c>
      <c r="O35" s="32">
        <f t="shared" si="12"/>
        <v>0.68932750000000009</v>
      </c>
      <c r="P35" s="31">
        <f t="shared" si="20"/>
        <v>4.754999999999999E-4</v>
      </c>
      <c r="Q35" s="104">
        <f t="shared" si="13"/>
        <v>1024416.1734600889</v>
      </c>
      <c r="R35" s="29">
        <f t="shared" si="14"/>
        <v>700</v>
      </c>
      <c r="S35" s="29">
        <f t="shared" si="15"/>
        <v>1030</v>
      </c>
      <c r="T35" s="15">
        <f t="shared" si="16"/>
        <v>0.7</v>
      </c>
      <c r="U35" s="33">
        <f t="shared" ca="1" si="17"/>
        <v>7.378562615306639</v>
      </c>
      <c r="V35" s="33">
        <f t="shared" ca="1" si="18"/>
        <v>7.378562615306639</v>
      </c>
      <c r="W35" s="34">
        <f t="shared" ca="1" si="19"/>
        <v>0</v>
      </c>
      <c r="X35" s="35"/>
      <c r="Y35" s="35"/>
      <c r="Z35" s="18" t="s">
        <v>94</v>
      </c>
      <c r="AA35" s="41">
        <f ca="1">(fluid_density*gravitational_acceleration*design_flow_rate*(bare_hf_yr1_m+Elevation_change))/pump_efficiency</f>
        <v>11732817.626841299</v>
      </c>
      <c r="AB35" s="17" t="s">
        <v>113</v>
      </c>
    </row>
    <row r="36" spans="1:28">
      <c r="A36" s="22">
        <v>17</v>
      </c>
      <c r="B36" s="23">
        <f t="shared" si="0"/>
        <v>0.5026666666666666</v>
      </c>
      <c r="C36" s="24">
        <f t="shared" si="1"/>
        <v>689.64</v>
      </c>
      <c r="D36" s="25">
        <f t="shared" si="2"/>
        <v>10.779999999999998</v>
      </c>
      <c r="E36" s="24">
        <f t="shared" si="3"/>
        <v>1.8739727538581423</v>
      </c>
      <c r="F36" s="26">
        <f t="shared" ca="1" si="4"/>
        <v>1.8585477874260663E-2</v>
      </c>
      <c r="G36" s="27">
        <f t="shared" ca="1" si="5"/>
        <v>482.53315855130842</v>
      </c>
      <c r="H36" s="28">
        <f t="shared" ca="1" si="6"/>
        <v>4160.7272796347361</v>
      </c>
      <c r="I36" s="28">
        <f t="shared" si="7"/>
        <v>8622.6764024390268</v>
      </c>
      <c r="J36" s="120">
        <f t="shared" ca="1" si="8"/>
        <v>6116269.1010630615</v>
      </c>
      <c r="K36" s="120">
        <f t="shared" si="9"/>
        <v>12675334.311585369</v>
      </c>
      <c r="L36" s="29">
        <f t="shared" si="10"/>
        <v>1.2999999999999999E-3</v>
      </c>
      <c r="M36" s="15">
        <f t="shared" si="11"/>
        <v>0.71120000000000005</v>
      </c>
      <c r="N36" s="31">
        <f t="shared" si="21"/>
        <v>1.0779999999999998E-2</v>
      </c>
      <c r="O36" s="32">
        <f t="shared" si="12"/>
        <v>0.68964000000000003</v>
      </c>
      <c r="P36" s="31">
        <f t="shared" si="20"/>
        <v>5.0266666666666656E-4</v>
      </c>
      <c r="Q36" s="104">
        <f t="shared" si="13"/>
        <v>1023951.9746691164</v>
      </c>
      <c r="R36" s="29">
        <f t="shared" si="14"/>
        <v>700</v>
      </c>
      <c r="S36" s="29">
        <f t="shared" si="15"/>
        <v>1030</v>
      </c>
      <c r="T36" s="15">
        <f t="shared" si="16"/>
        <v>0.7</v>
      </c>
      <c r="U36" s="33">
        <f t="shared" ca="1" si="17"/>
        <v>7.3352198313107682</v>
      </c>
      <c r="V36" s="33">
        <f t="shared" ca="1" si="18"/>
        <v>7.335219831310769</v>
      </c>
      <c r="W36" s="34">
        <f t="shared" ca="1" si="19"/>
        <v>0</v>
      </c>
      <c r="X36" s="35"/>
      <c r="Y36" s="35"/>
      <c r="Z36" s="18" t="s">
        <v>95</v>
      </c>
      <c r="AA36" s="42">
        <f>Projected_kWh</f>
        <v>0.17499999999999999</v>
      </c>
      <c r="AB36" s="17" t="s">
        <v>113</v>
      </c>
    </row>
    <row r="37" spans="1:28">
      <c r="A37" s="22">
        <v>18</v>
      </c>
      <c r="B37" s="23">
        <f t="shared" si="0"/>
        <v>0.52983333333333327</v>
      </c>
      <c r="C37" s="24">
        <f t="shared" si="1"/>
        <v>689.9525000000001</v>
      </c>
      <c r="D37" s="25">
        <f t="shared" si="2"/>
        <v>10.623749999999998</v>
      </c>
      <c r="E37" s="24">
        <f t="shared" si="3"/>
        <v>1.8722755823455464</v>
      </c>
      <c r="F37" s="26">
        <f t="shared" ca="1" si="4"/>
        <v>1.8796363461598447E-2</v>
      </c>
      <c r="G37" s="27">
        <f t="shared" ca="1" si="5"/>
        <v>486.90419605210303</v>
      </c>
      <c r="H37" s="28">
        <f t="shared" ca="1" si="6"/>
        <v>4198.4173215470128</v>
      </c>
      <c r="I37" s="28">
        <f t="shared" si="7"/>
        <v>8622.6764024390268</v>
      </c>
      <c r="J37" s="120">
        <f t="shared" ca="1" si="8"/>
        <v>6171673.4626741083</v>
      </c>
      <c r="K37" s="120">
        <f t="shared" si="9"/>
        <v>12675334.311585369</v>
      </c>
      <c r="L37" s="29">
        <f t="shared" si="10"/>
        <v>1.2999999999999999E-3</v>
      </c>
      <c r="M37" s="15">
        <f t="shared" si="11"/>
        <v>0.71120000000000005</v>
      </c>
      <c r="N37" s="31">
        <f t="shared" si="21"/>
        <v>1.0623749999999998E-2</v>
      </c>
      <c r="O37" s="32">
        <f t="shared" si="12"/>
        <v>0.68995250000000008</v>
      </c>
      <c r="P37" s="31">
        <f t="shared" si="20"/>
        <v>5.2983333333333322E-4</v>
      </c>
      <c r="Q37" s="104">
        <f t="shared" si="13"/>
        <v>1023488.1963770107</v>
      </c>
      <c r="R37" s="29">
        <f t="shared" si="14"/>
        <v>700</v>
      </c>
      <c r="S37" s="29">
        <f t="shared" si="15"/>
        <v>1030</v>
      </c>
      <c r="T37" s="15">
        <f t="shared" si="16"/>
        <v>0.7</v>
      </c>
      <c r="U37" s="33">
        <f t="shared" ca="1" si="17"/>
        <v>7.2939550544284613</v>
      </c>
      <c r="V37" s="33">
        <f t="shared" ca="1" si="18"/>
        <v>7.2939550544284613</v>
      </c>
      <c r="W37" s="34">
        <f t="shared" ca="1" si="19"/>
        <v>0</v>
      </c>
      <c r="X37" s="35"/>
      <c r="Y37" s="35"/>
      <c r="Z37" s="18" t="s">
        <v>115</v>
      </c>
      <c r="AA37" s="41"/>
      <c r="AB37" s="17" t="s">
        <v>114</v>
      </c>
    </row>
    <row r="38" spans="1:28">
      <c r="A38" s="22">
        <v>19</v>
      </c>
      <c r="B38" s="23">
        <f t="shared" si="0"/>
        <v>0.55699999999999983</v>
      </c>
      <c r="C38" s="24">
        <f t="shared" si="1"/>
        <v>690.26499999999999</v>
      </c>
      <c r="D38" s="25">
        <f t="shared" si="2"/>
        <v>10.467499999999998</v>
      </c>
      <c r="E38" s="24">
        <f t="shared" si="3"/>
        <v>1.8705807153654146</v>
      </c>
      <c r="F38" s="26">
        <f t="shared" ca="1" si="4"/>
        <v>1.9000953184840581E-2</v>
      </c>
      <c r="G38" s="27">
        <f t="shared" ca="1" si="5"/>
        <v>491.09076708961442</v>
      </c>
      <c r="H38" s="28">
        <f t="shared" ca="1" si="6"/>
        <v>4234.5167688392976</v>
      </c>
      <c r="I38" s="28">
        <f t="shared" si="7"/>
        <v>8622.6764024390268</v>
      </c>
      <c r="J38" s="120">
        <f t="shared" ca="1" si="8"/>
        <v>6224739.6501937667</v>
      </c>
      <c r="K38" s="120">
        <f t="shared" si="9"/>
        <v>12675334.311585369</v>
      </c>
      <c r="L38" s="29">
        <f t="shared" si="10"/>
        <v>1.2999999999999999E-3</v>
      </c>
      <c r="M38" s="15">
        <f t="shared" si="11"/>
        <v>0.71120000000000005</v>
      </c>
      <c r="N38" s="31">
        <f t="shared" si="21"/>
        <v>1.0467499999999998E-2</v>
      </c>
      <c r="O38" s="32">
        <f t="shared" si="12"/>
        <v>0.69026500000000002</v>
      </c>
      <c r="P38" s="31">
        <f t="shared" si="20"/>
        <v>5.5699999999999988E-4</v>
      </c>
      <c r="Q38" s="104">
        <f t="shared" si="13"/>
        <v>1023024.8380126611</v>
      </c>
      <c r="R38" s="29">
        <f t="shared" si="14"/>
        <v>700</v>
      </c>
      <c r="S38" s="29">
        <f t="shared" si="15"/>
        <v>1030</v>
      </c>
      <c r="T38" s="15">
        <f t="shared" si="16"/>
        <v>0.7</v>
      </c>
      <c r="U38" s="33">
        <f t="shared" ca="1" si="17"/>
        <v>7.2545805308511104</v>
      </c>
      <c r="V38" s="33">
        <f t="shared" ca="1" si="18"/>
        <v>7.2545805308511104</v>
      </c>
      <c r="W38" s="34">
        <f t="shared" ca="1" si="19"/>
        <v>0</v>
      </c>
      <c r="X38" s="35"/>
      <c r="Y38" s="35"/>
    </row>
    <row r="39" spans="1:28">
      <c r="A39" s="22">
        <v>20</v>
      </c>
      <c r="B39" s="23">
        <f t="shared" si="0"/>
        <v>0.5841666666666665</v>
      </c>
      <c r="C39" s="24">
        <f t="shared" si="1"/>
        <v>690.5775000000001</v>
      </c>
      <c r="D39" s="25">
        <f t="shared" si="2"/>
        <v>10.311249999999998</v>
      </c>
      <c r="E39" s="24">
        <f t="shared" si="3"/>
        <v>1.8688881487473037</v>
      </c>
      <c r="F39" s="26">
        <f t="shared" ca="1" si="4"/>
        <v>1.9199710423515311E-2</v>
      </c>
      <c r="G39" s="27">
        <f t="shared" ca="1" si="5"/>
        <v>495.1060155835267</v>
      </c>
      <c r="H39" s="28">
        <f t="shared" ca="1" si="6"/>
        <v>4269.1389572776834</v>
      </c>
      <c r="I39" s="28">
        <f t="shared" si="7"/>
        <v>8622.6764024390268</v>
      </c>
      <c r="J39" s="120">
        <f t="shared" ca="1" si="8"/>
        <v>6275634.2671981938</v>
      </c>
      <c r="K39" s="120">
        <f t="shared" si="9"/>
        <v>12675334.311585369</v>
      </c>
      <c r="L39" s="29">
        <f t="shared" si="10"/>
        <v>1.2999999999999999E-3</v>
      </c>
      <c r="M39" s="15">
        <f t="shared" si="11"/>
        <v>0.71120000000000005</v>
      </c>
      <c r="N39" s="31">
        <f t="shared" si="21"/>
        <v>1.0311249999999998E-2</v>
      </c>
      <c r="O39" s="32">
        <f t="shared" si="12"/>
        <v>0.69057750000000007</v>
      </c>
      <c r="P39" s="31">
        <f t="shared" si="20"/>
        <v>5.8416666666666654E-4</v>
      </c>
      <c r="Q39" s="104">
        <f t="shared" si="13"/>
        <v>1022561.8990059905</v>
      </c>
      <c r="R39" s="29">
        <f t="shared" si="14"/>
        <v>700</v>
      </c>
      <c r="S39" s="29">
        <f t="shared" si="15"/>
        <v>1030</v>
      </c>
      <c r="T39" s="15">
        <f t="shared" si="16"/>
        <v>0.7</v>
      </c>
      <c r="U39" s="33">
        <f t="shared" ca="1" si="17"/>
        <v>7.2169327883574841</v>
      </c>
      <c r="V39" s="33">
        <f t="shared" ca="1" si="18"/>
        <v>7.2169327883574832</v>
      </c>
      <c r="W39" s="34">
        <f t="shared" ca="1" si="19"/>
        <v>0</v>
      </c>
      <c r="X39" s="35"/>
      <c r="Y39" s="35"/>
    </row>
    <row r="40" spans="1:28">
      <c r="A40" s="22">
        <v>21</v>
      </c>
      <c r="B40" s="23">
        <f t="shared" si="0"/>
        <v>0.61133333333333317</v>
      </c>
      <c r="C40" s="24">
        <f t="shared" si="1"/>
        <v>690.89</v>
      </c>
      <c r="D40" s="25">
        <f t="shared" si="2"/>
        <v>10.154999999999998</v>
      </c>
      <c r="E40" s="24">
        <f t="shared" si="3"/>
        <v>1.8671978783302021</v>
      </c>
      <c r="F40" s="26">
        <f t="shared" ca="1" si="4"/>
        <v>1.9393046410970317E-2</v>
      </c>
      <c r="G40" s="27">
        <f t="shared" ca="1" si="5"/>
        <v>498.96162941689744</v>
      </c>
      <c r="H40" s="28">
        <f t="shared" ca="1" si="6"/>
        <v>4302.3846676956073</v>
      </c>
      <c r="I40" s="28">
        <f t="shared" si="7"/>
        <v>8622.6764024390268</v>
      </c>
      <c r="J40" s="120">
        <f t="shared" ca="1" si="8"/>
        <v>6324505.4615125423</v>
      </c>
      <c r="K40" s="120">
        <f t="shared" si="9"/>
        <v>12675334.311585369</v>
      </c>
      <c r="L40" s="29">
        <f t="shared" si="10"/>
        <v>1.2999999999999999E-3</v>
      </c>
      <c r="M40" s="15">
        <f t="shared" si="11"/>
        <v>0.71120000000000005</v>
      </c>
      <c r="N40" s="31">
        <f t="shared" si="21"/>
        <v>1.0154999999999997E-2</v>
      </c>
      <c r="O40" s="32">
        <f t="shared" si="12"/>
        <v>0.69089</v>
      </c>
      <c r="P40" s="31">
        <f t="shared" si="20"/>
        <v>6.1133333333333319E-4</v>
      </c>
      <c r="Q40" s="104">
        <f t="shared" si="13"/>
        <v>1022099.3787879539</v>
      </c>
      <c r="R40" s="29">
        <f t="shared" si="14"/>
        <v>700</v>
      </c>
      <c r="S40" s="29">
        <f t="shared" si="15"/>
        <v>1030</v>
      </c>
      <c r="T40" s="15">
        <f t="shared" si="16"/>
        <v>0.7</v>
      </c>
      <c r="U40" s="33">
        <f t="shared" ca="1" si="17"/>
        <v>7.1808686295926609</v>
      </c>
      <c r="V40" s="33">
        <f t="shared" ca="1" si="18"/>
        <v>7.1808686295926609</v>
      </c>
      <c r="W40" s="34">
        <f t="shared" ca="1" si="19"/>
        <v>0</v>
      </c>
      <c r="X40" s="35"/>
      <c r="Y40" s="35"/>
    </row>
    <row r="41" spans="1:28">
      <c r="A41" s="22">
        <v>22</v>
      </c>
      <c r="B41" s="23">
        <f t="shared" si="0"/>
        <v>0.63849999999999985</v>
      </c>
      <c r="C41" s="24">
        <f t="shared" si="1"/>
        <v>691.2025000000001</v>
      </c>
      <c r="D41" s="25">
        <f t="shared" si="2"/>
        <v>9.9987499999999976</v>
      </c>
      <c r="E41" s="24">
        <f t="shared" si="3"/>
        <v>1.8655098999624999</v>
      </c>
      <c r="F41" s="26">
        <f t="shared" ca="1" si="4"/>
        <v>1.9581327945819946E-2</v>
      </c>
      <c r="G41" s="27">
        <f t="shared" ca="1" si="5"/>
        <v>502.66805431092098</v>
      </c>
      <c r="H41" s="28">
        <f t="shared" ca="1" si="6"/>
        <v>4334.3439701667166</v>
      </c>
      <c r="I41" s="28">
        <f t="shared" si="7"/>
        <v>8622.6764024390268</v>
      </c>
      <c r="J41" s="120">
        <f t="shared" ca="1" si="8"/>
        <v>6371485.636145073</v>
      </c>
      <c r="K41" s="120">
        <f t="shared" si="9"/>
        <v>12675334.311585369</v>
      </c>
      <c r="L41" s="29">
        <f t="shared" si="10"/>
        <v>1.2999999999999999E-3</v>
      </c>
      <c r="M41" s="15">
        <f t="shared" si="11"/>
        <v>0.71120000000000005</v>
      </c>
      <c r="N41" s="31">
        <f t="shared" si="21"/>
        <v>9.9987499999999972E-3</v>
      </c>
      <c r="O41" s="32">
        <f t="shared" si="12"/>
        <v>0.69120250000000005</v>
      </c>
      <c r="P41" s="31">
        <f t="shared" si="20"/>
        <v>6.3849999999999985E-4</v>
      </c>
      <c r="Q41" s="104">
        <f t="shared" si="13"/>
        <v>1021637.2767905345</v>
      </c>
      <c r="R41" s="29">
        <f t="shared" si="14"/>
        <v>700</v>
      </c>
      <c r="S41" s="29">
        <f t="shared" si="15"/>
        <v>1030</v>
      </c>
      <c r="T41" s="15">
        <f t="shared" si="16"/>
        <v>0.7</v>
      </c>
      <c r="U41" s="33">
        <f t="shared" ca="1" si="17"/>
        <v>7.1462619179684683</v>
      </c>
      <c r="V41" s="33">
        <f t="shared" ca="1" si="18"/>
        <v>7.1462619179684692</v>
      </c>
      <c r="W41" s="34">
        <f t="shared" ca="1" si="19"/>
        <v>0</v>
      </c>
      <c r="X41" s="35"/>
      <c r="Y41" s="35"/>
    </row>
    <row r="42" spans="1:28">
      <c r="A42" s="22">
        <v>23</v>
      </c>
      <c r="B42" s="23">
        <f t="shared" si="0"/>
        <v>0.66566666666666652</v>
      </c>
      <c r="C42" s="24">
        <f t="shared" si="1"/>
        <v>691.5150000000001</v>
      </c>
      <c r="D42" s="25">
        <f t="shared" si="2"/>
        <v>9.8424999999999976</v>
      </c>
      <c r="E42" s="24">
        <f t="shared" si="3"/>
        <v>1.8638242095019673</v>
      </c>
      <c r="F42" s="26">
        <f t="shared" ca="1" si="4"/>
        <v>1.9764883712526358E-2</v>
      </c>
      <c r="G42" s="27">
        <f t="shared" ca="1" si="5"/>
        <v>506.23466926640003</v>
      </c>
      <c r="H42" s="28">
        <f t="shared" ca="1" si="6"/>
        <v>4365.0977367799114</v>
      </c>
      <c r="I42" s="28">
        <f t="shared" si="7"/>
        <v>8622.6764024390268</v>
      </c>
      <c r="J42" s="120">
        <f t="shared" ca="1" si="8"/>
        <v>6416693.6730664689</v>
      </c>
      <c r="K42" s="120">
        <f t="shared" si="9"/>
        <v>12675334.311585369</v>
      </c>
      <c r="L42" s="29">
        <f t="shared" si="10"/>
        <v>1.2999999999999999E-3</v>
      </c>
      <c r="M42" s="15">
        <f t="shared" si="11"/>
        <v>0.71120000000000005</v>
      </c>
      <c r="N42" s="31">
        <f t="shared" si="21"/>
        <v>9.8424999999999971E-3</v>
      </c>
      <c r="O42" s="32">
        <f t="shared" si="12"/>
        <v>0.6915150000000001</v>
      </c>
      <c r="P42" s="31">
        <f t="shared" si="20"/>
        <v>6.6566666666666651E-4</v>
      </c>
      <c r="Q42" s="104">
        <f t="shared" si="13"/>
        <v>1021175.5924467429</v>
      </c>
      <c r="R42" s="29">
        <f t="shared" si="14"/>
        <v>700</v>
      </c>
      <c r="S42" s="29">
        <f t="shared" si="15"/>
        <v>1030</v>
      </c>
      <c r="T42" s="15">
        <f t="shared" si="16"/>
        <v>0.7</v>
      </c>
      <c r="U42" s="33">
        <f t="shared" ca="1" si="17"/>
        <v>7.1130009753805199</v>
      </c>
      <c r="V42" s="33">
        <f t="shared" ca="1" si="18"/>
        <v>7.1130009753805208</v>
      </c>
      <c r="W42" s="34">
        <f t="shared" ca="1" si="19"/>
        <v>0</v>
      </c>
      <c r="X42" s="35"/>
      <c r="Y42" s="35"/>
    </row>
    <row r="43" spans="1:28">
      <c r="A43" s="22">
        <v>24</v>
      </c>
      <c r="B43" s="23">
        <f t="shared" si="0"/>
        <v>0.69283333333333319</v>
      </c>
      <c r="C43" s="24">
        <f t="shared" si="1"/>
        <v>691.82749999999999</v>
      </c>
      <c r="D43" s="25">
        <f t="shared" si="2"/>
        <v>9.6862499999999976</v>
      </c>
      <c r="E43" s="24">
        <f t="shared" si="3"/>
        <v>1.862140802815728</v>
      </c>
      <c r="F43" s="26">
        <f t="shared" ca="1" si="4"/>
        <v>1.9944009503717351E-2</v>
      </c>
      <c r="G43" s="27">
        <f t="shared" ca="1" si="5"/>
        <v>509.66993163843313</v>
      </c>
      <c r="H43" s="28">
        <f t="shared" ca="1" si="6"/>
        <v>4394.718892571429</v>
      </c>
      <c r="I43" s="28">
        <f t="shared" si="7"/>
        <v>8622.6764024390268</v>
      </c>
      <c r="J43" s="120">
        <f t="shared" ca="1" si="8"/>
        <v>6460236.7720799996</v>
      </c>
      <c r="K43" s="120">
        <f t="shared" si="9"/>
        <v>12675334.311585369</v>
      </c>
      <c r="L43" s="29">
        <f t="shared" si="10"/>
        <v>1.2999999999999999E-3</v>
      </c>
      <c r="M43" s="15">
        <f t="shared" si="11"/>
        <v>0.71120000000000005</v>
      </c>
      <c r="N43" s="31">
        <f t="shared" si="21"/>
        <v>9.6862499999999969E-3</v>
      </c>
      <c r="O43" s="32">
        <f t="shared" si="12"/>
        <v>0.69182750000000004</v>
      </c>
      <c r="P43" s="31">
        <f t="shared" si="20"/>
        <v>6.9283333333333317E-4</v>
      </c>
      <c r="Q43" s="104">
        <f t="shared" si="13"/>
        <v>1020714.325190614</v>
      </c>
      <c r="R43" s="29">
        <f t="shared" si="14"/>
        <v>700</v>
      </c>
      <c r="S43" s="29">
        <f t="shared" si="15"/>
        <v>1030</v>
      </c>
      <c r="T43" s="15">
        <f t="shared" si="16"/>
        <v>0.7</v>
      </c>
      <c r="U43" s="33">
        <f t="shared" ca="1" si="17"/>
        <v>7.0809864572520516</v>
      </c>
      <c r="V43" s="33">
        <f t="shared" ca="1" si="18"/>
        <v>7.0809864572520516</v>
      </c>
      <c r="W43" s="34">
        <f t="shared" ca="1" si="19"/>
        <v>0</v>
      </c>
      <c r="X43" s="35"/>
      <c r="Y43" s="35"/>
      <c r="AA43" s="17">
        <f>design_flow_rate</f>
        <v>0.7</v>
      </c>
    </row>
    <row r="44" spans="1:28" s="56" customFormat="1">
      <c r="A44" s="43">
        <v>25</v>
      </c>
      <c r="B44" s="44">
        <f t="shared" si="0"/>
        <v>0.72</v>
      </c>
      <c r="C44" s="45">
        <f t="shared" si="1"/>
        <v>692.1400000000001</v>
      </c>
      <c r="D44" s="46">
        <f t="shared" si="2"/>
        <v>9.5299999999999994</v>
      </c>
      <c r="E44" s="45">
        <f t="shared" si="3"/>
        <v>1.8604596757802316</v>
      </c>
      <c r="F44" s="47">
        <f t="shared" ca="1" si="4"/>
        <v>2.0118972567143085E-2</v>
      </c>
      <c r="G44" s="48">
        <f t="shared" ca="1" si="5"/>
        <v>512.98149799241901</v>
      </c>
      <c r="H44" s="28">
        <f t="shared" ca="1" si="6"/>
        <v>4423.2734576270532</v>
      </c>
      <c r="I44" s="28">
        <f t="shared" si="7"/>
        <v>8622.6764024390268</v>
      </c>
      <c r="J44" s="121">
        <f t="shared" ca="1" si="8"/>
        <v>6502211.9827117678</v>
      </c>
      <c r="K44" s="121">
        <f t="shared" si="9"/>
        <v>12675334.311585369</v>
      </c>
      <c r="L44" s="29">
        <f t="shared" si="10"/>
        <v>1.2999999999999999E-3</v>
      </c>
      <c r="M44" s="15">
        <f t="shared" si="11"/>
        <v>0.71120000000000005</v>
      </c>
      <c r="N44" s="113">
        <f>fbe_wall__yr_1_mm/1000</f>
        <v>9.5299999999999985E-3</v>
      </c>
      <c r="O44" s="115">
        <f t="shared" si="12"/>
        <v>0.69214000000000009</v>
      </c>
      <c r="P44" s="113">
        <f>roughness_bare_yr_25_mm/1000</f>
        <v>7.1999999999999994E-4</v>
      </c>
      <c r="Q44" s="105">
        <f t="shared" si="13"/>
        <v>1020253.4744572043</v>
      </c>
      <c r="R44" s="49">
        <f t="shared" si="14"/>
        <v>700</v>
      </c>
      <c r="S44" s="29">
        <f t="shared" si="15"/>
        <v>1030</v>
      </c>
      <c r="T44" s="50">
        <f t="shared" si="16"/>
        <v>0.7</v>
      </c>
      <c r="U44" s="53">
        <f t="shared" ca="1" si="17"/>
        <v>7.0501296036588021</v>
      </c>
      <c r="V44" s="53">
        <f t="shared" ca="1" si="18"/>
        <v>7.0501296036588021</v>
      </c>
      <c r="W44" s="54">
        <f t="shared" ca="1" si="19"/>
        <v>0</v>
      </c>
      <c r="X44" s="55"/>
      <c r="Y44" s="55"/>
    </row>
    <row r="45" spans="1:28">
      <c r="A45" s="22"/>
      <c r="B45" s="23"/>
      <c r="C45" s="24"/>
      <c r="D45" s="25"/>
      <c r="E45" s="24"/>
      <c r="F45" s="26"/>
      <c r="G45" s="27"/>
      <c r="H45" s="28"/>
      <c r="I45" s="28"/>
      <c r="J45" s="122">
        <f ca="1">NPV(annual_discount_rate,J20:J44)</f>
        <v>48965594.081127092</v>
      </c>
      <c r="K45" s="122">
        <f>NPV(annual_discount_rate,K20:K44)</f>
        <v>115054516.79069601</v>
      </c>
      <c r="L45" s="29"/>
      <c r="N45" s="31"/>
      <c r="O45" s="32"/>
      <c r="P45" s="31"/>
      <c r="Q45" s="30"/>
      <c r="R45" s="29"/>
      <c r="S45" s="29"/>
      <c r="U45" s="33"/>
      <c r="V45" s="33"/>
      <c r="W45" s="34"/>
      <c r="X45" s="35"/>
      <c r="Y45" s="35"/>
    </row>
    <row r="46" spans="1:28">
      <c r="A46" s="17"/>
      <c r="B46" s="17"/>
      <c r="C46" s="17"/>
      <c r="D46" s="17"/>
      <c r="E46" s="17"/>
      <c r="F46" s="17"/>
      <c r="G46" s="17"/>
      <c r="H46" s="17"/>
      <c r="I46" s="17"/>
      <c r="J46" s="123"/>
      <c r="K46" s="123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8" s="63" customFormat="1" ht="42" customHeight="1">
      <c r="A47" s="61" t="s">
        <v>72</v>
      </c>
      <c r="B47" s="61" t="s">
        <v>74</v>
      </c>
      <c r="C47" s="61" t="s">
        <v>76</v>
      </c>
      <c r="D47" s="61" t="s">
        <v>99</v>
      </c>
      <c r="E47" s="61" t="s">
        <v>103</v>
      </c>
      <c r="F47" s="61" t="s">
        <v>98</v>
      </c>
      <c r="G47" s="61" t="s">
        <v>71</v>
      </c>
      <c r="H47" s="61" t="s">
        <v>118</v>
      </c>
      <c r="I47" s="61" t="s">
        <v>117</v>
      </c>
      <c r="J47" s="124" t="s">
        <v>121</v>
      </c>
      <c r="K47" s="124" t="s">
        <v>122</v>
      </c>
      <c r="L47" s="62" t="s">
        <v>77</v>
      </c>
      <c r="M47" s="62" t="s">
        <v>104</v>
      </c>
      <c r="N47" s="62" t="s">
        <v>70</v>
      </c>
      <c r="O47" s="62" t="s">
        <v>105</v>
      </c>
      <c r="P47" s="62" t="s">
        <v>73</v>
      </c>
      <c r="Q47" s="62" t="s">
        <v>78</v>
      </c>
      <c r="R47" s="62" t="s">
        <v>75</v>
      </c>
      <c r="S47" s="62" t="s">
        <v>107</v>
      </c>
      <c r="T47" s="62" t="s">
        <v>97</v>
      </c>
      <c r="U47" s="62" t="s">
        <v>100</v>
      </c>
      <c r="V47" s="62" t="s">
        <v>101</v>
      </c>
      <c r="W47" s="62" t="s">
        <v>102</v>
      </c>
    </row>
    <row r="48" spans="1:28">
      <c r="A48" s="22">
        <v>1</v>
      </c>
      <c r="B48" s="57">
        <f t="shared" ref="B48:B72" si="22">P48*1000</f>
        <v>1.4999999999999999E-2</v>
      </c>
      <c r="C48" s="24">
        <f t="shared" ref="C48:C72" si="23">O48*1000</f>
        <v>692.1400000000001</v>
      </c>
      <c r="D48" s="25">
        <f t="shared" ref="D48:D72" si="24">N48*1000</f>
        <v>9.5299999999999994</v>
      </c>
      <c r="E48" s="24">
        <f t="shared" ref="E48:E72" si="25">T48/(PI()*(O48/2)^2)</f>
        <v>1.8604596757802316</v>
      </c>
      <c r="F48" s="26">
        <f ca="1">1/(-2*LOG10((P48/O48)/3.7 + 2.51/(Q48*SQRT(F48+1E-300))))^2</f>
        <v>1.2080472493308679E-2</v>
      </c>
      <c r="G48" s="27">
        <f t="shared" ref="G48:G72" ca="1" si="26">(F48 * pipeline_length * E48^2 ) / (2*gravitational_acceleration * O48)</f>
        <v>308.02064346935418</v>
      </c>
      <c r="H48" s="28">
        <f t="shared" ref="H48:H72" ca="1" si="27">(S48*gravitational_acceleration*T48*(G48)/(pump_efficiency))/1000</f>
        <v>2655.9623339072841</v>
      </c>
      <c r="I48" s="28">
        <f t="shared" ref="I48:I72" si="28">(S48*gravitational_acceleration*T48*(Elevation_change)/(pump_efficiency))/1000</f>
        <v>8622.6764024390268</v>
      </c>
      <c r="J48" s="120">
        <f t="shared" ref="J48:J72" ca="1" si="29">H48*Projected_kWh*annual_hours_operation_h_yr</f>
        <v>3904264.6308437074</v>
      </c>
      <c r="K48" s="120">
        <f t="shared" ref="K48:K72" si="30">I48*Projected_kWh*annual_hours_operation_h_yr</f>
        <v>12675334.311585369</v>
      </c>
      <c r="L48" s="29">
        <f t="shared" ref="L48:L72" si="31">dynamic_viscosity_of_water</f>
        <v>1.2999999999999999E-3</v>
      </c>
      <c r="M48" s="15">
        <f t="shared" ref="M48:M72" si="32">outside_diameter</f>
        <v>0.71120000000000005</v>
      </c>
      <c r="N48" s="31">
        <f t="shared" ref="N48:N72" si="33">fbe_wall__yr_1_mm/1000</f>
        <v>9.5299999999999985E-3</v>
      </c>
      <c r="O48" s="32">
        <f t="shared" ref="O48:O72" si="34">M48-2*N48</f>
        <v>0.69214000000000009</v>
      </c>
      <c r="P48" s="117">
        <f>roughness_fbe_yr_1_mm/1000</f>
        <v>1.4999999999999999E-5</v>
      </c>
      <c r="Q48" s="30">
        <f t="shared" ref="Q48:Q72" si="35">S48*E48*O48/L48</f>
        <v>1020253.4744572043</v>
      </c>
      <c r="R48" s="29">
        <f t="shared" ref="R48:R72" si="36">T48*1000</f>
        <v>700</v>
      </c>
      <c r="S48" s="29">
        <f t="shared" ref="S48:S72" si="37">fluid_density</f>
        <v>1030</v>
      </c>
      <c r="T48" s="15">
        <f t="shared" ref="T48:T72" si="38">design_flow_rate</f>
        <v>0.7</v>
      </c>
      <c r="U48" s="33">
        <f t="shared" ref="U48:U72" ca="1" si="39">1/SQRT(F48)</f>
        <v>9.0982536342143128</v>
      </c>
      <c r="V48" s="33">
        <f t="shared" ref="V48:V72" ca="1" si="40">-2 *LOG10(((P48) / (3.7 *O48)) + (2.51 / (Q48* SQRT(F48))))</f>
        <v>9.0982536342143145</v>
      </c>
      <c r="W48" s="34">
        <f t="shared" ref="W48:W72" ca="1" si="41">V48-U48</f>
        <v>0</v>
      </c>
    </row>
    <row r="49" spans="1:23">
      <c r="A49" s="22">
        <v>2</v>
      </c>
      <c r="B49" s="57">
        <f t="shared" si="22"/>
        <v>1.5833333333333335E-2</v>
      </c>
      <c r="C49" s="24">
        <f t="shared" si="23"/>
        <v>692.1400000000001</v>
      </c>
      <c r="D49" s="25">
        <f t="shared" si="24"/>
        <v>9.5299999999999994</v>
      </c>
      <c r="E49" s="24">
        <f t="shared" si="25"/>
        <v>1.8604596757802316</v>
      </c>
      <c r="F49" s="26">
        <f t="shared" ref="F49:F72" ca="1" si="42">1/(-2*LOG10((P49/O49)/3.7 + 2.51/(Q49*SQRT(F49+1E-300))))^2</f>
        <v>1.2105096087116811E-2</v>
      </c>
      <c r="G49" s="27">
        <f t="shared" ca="1" si="26"/>
        <v>308.64848109851238</v>
      </c>
      <c r="H49" s="28">
        <f t="shared" ca="1" si="27"/>
        <v>2661.3759746167902</v>
      </c>
      <c r="I49" s="28">
        <f t="shared" si="28"/>
        <v>8622.6764024390268</v>
      </c>
      <c r="J49" s="120">
        <f t="shared" ca="1" si="29"/>
        <v>3912222.6826866814</v>
      </c>
      <c r="K49" s="120">
        <f t="shared" si="30"/>
        <v>12675334.311585369</v>
      </c>
      <c r="L49" s="29">
        <f t="shared" si="31"/>
        <v>1.2999999999999999E-3</v>
      </c>
      <c r="M49" s="15">
        <f t="shared" si="32"/>
        <v>0.71120000000000005</v>
      </c>
      <c r="N49" s="31">
        <f t="shared" si="33"/>
        <v>9.5299999999999985E-3</v>
      </c>
      <c r="O49" s="32">
        <f t="shared" si="34"/>
        <v>0.69214000000000009</v>
      </c>
      <c r="P49" s="58">
        <f t="shared" ref="P49:P71" si="43">P48-(P$48-P$72)/24</f>
        <v>1.5833333333333333E-5</v>
      </c>
      <c r="Q49" s="30">
        <f t="shared" si="35"/>
        <v>1020253.4744572043</v>
      </c>
      <c r="R49" s="29">
        <f t="shared" si="36"/>
        <v>700</v>
      </c>
      <c r="S49" s="29">
        <f t="shared" si="37"/>
        <v>1030</v>
      </c>
      <c r="T49" s="15">
        <f t="shared" si="38"/>
        <v>0.7</v>
      </c>
      <c r="U49" s="33">
        <f t="shared" ca="1" si="39"/>
        <v>9.0889953125603373</v>
      </c>
      <c r="V49" s="33">
        <f t="shared" ca="1" si="40"/>
        <v>9.0889953125603373</v>
      </c>
      <c r="W49" s="34">
        <f t="shared" ca="1" si="41"/>
        <v>0</v>
      </c>
    </row>
    <row r="50" spans="1:23">
      <c r="A50" s="22">
        <v>3</v>
      </c>
      <c r="B50" s="57">
        <f t="shared" si="22"/>
        <v>1.6666666666666666E-2</v>
      </c>
      <c r="C50" s="24">
        <f t="shared" si="23"/>
        <v>692.1400000000001</v>
      </c>
      <c r="D50" s="25">
        <f t="shared" si="24"/>
        <v>9.5299999999999994</v>
      </c>
      <c r="E50" s="24">
        <f t="shared" si="25"/>
        <v>1.8604596757802316</v>
      </c>
      <c r="F50" s="26">
        <f t="shared" ca="1" si="42"/>
        <v>1.2129552148912696E-2</v>
      </c>
      <c r="G50" s="27">
        <f t="shared" ca="1" si="26"/>
        <v>309.27204709688431</v>
      </c>
      <c r="H50" s="28">
        <f t="shared" ca="1" si="27"/>
        <v>2666.7527824363151</v>
      </c>
      <c r="I50" s="28">
        <f t="shared" si="28"/>
        <v>8622.6764024390268</v>
      </c>
      <c r="J50" s="120">
        <f t="shared" ca="1" si="29"/>
        <v>3920126.5901813828</v>
      </c>
      <c r="K50" s="120">
        <f t="shared" si="30"/>
        <v>12675334.311585369</v>
      </c>
      <c r="L50" s="29">
        <f t="shared" si="31"/>
        <v>1.2999999999999999E-3</v>
      </c>
      <c r="M50" s="15">
        <f t="shared" si="32"/>
        <v>0.71120000000000005</v>
      </c>
      <c r="N50" s="31">
        <f t="shared" si="33"/>
        <v>9.5299999999999985E-3</v>
      </c>
      <c r="O50" s="32">
        <f t="shared" si="34"/>
        <v>0.69214000000000009</v>
      </c>
      <c r="P50" s="58">
        <f t="shared" si="43"/>
        <v>1.6666666666666667E-5</v>
      </c>
      <c r="Q50" s="30">
        <f t="shared" si="35"/>
        <v>1020253.4744572043</v>
      </c>
      <c r="R50" s="29">
        <f t="shared" si="36"/>
        <v>700</v>
      </c>
      <c r="S50" s="29">
        <f t="shared" si="37"/>
        <v>1030</v>
      </c>
      <c r="T50" s="15">
        <f t="shared" si="38"/>
        <v>0.7</v>
      </c>
      <c r="U50" s="33">
        <f t="shared" ca="1" si="39"/>
        <v>9.0798279012558361</v>
      </c>
      <c r="V50" s="33">
        <f t="shared" ca="1" si="40"/>
        <v>9.0798279012558361</v>
      </c>
      <c r="W50" s="34">
        <f t="shared" ca="1" si="41"/>
        <v>0</v>
      </c>
    </row>
    <row r="51" spans="1:23">
      <c r="A51" s="22">
        <v>4</v>
      </c>
      <c r="B51" s="57">
        <f t="shared" si="22"/>
        <v>1.7500000000000002E-2</v>
      </c>
      <c r="C51" s="24">
        <f t="shared" si="23"/>
        <v>692.1400000000001</v>
      </c>
      <c r="D51" s="25">
        <f t="shared" si="24"/>
        <v>9.5299999999999994</v>
      </c>
      <c r="E51" s="24">
        <f t="shared" si="25"/>
        <v>1.8604596757802316</v>
      </c>
      <c r="F51" s="26">
        <f t="shared" ca="1" si="42"/>
        <v>1.2153843339691226E-2</v>
      </c>
      <c r="G51" s="27">
        <f t="shared" ca="1" si="26"/>
        <v>309.89140931292212</v>
      </c>
      <c r="H51" s="28">
        <f t="shared" ca="1" si="27"/>
        <v>2672.0933424011068</v>
      </c>
      <c r="I51" s="28">
        <f t="shared" si="28"/>
        <v>8622.6764024390268</v>
      </c>
      <c r="J51" s="120">
        <f t="shared" ca="1" si="29"/>
        <v>3927977.2133296267</v>
      </c>
      <c r="K51" s="120">
        <f t="shared" si="30"/>
        <v>12675334.311585369</v>
      </c>
      <c r="L51" s="29">
        <f t="shared" si="31"/>
        <v>1.2999999999999999E-3</v>
      </c>
      <c r="M51" s="15">
        <f t="shared" si="32"/>
        <v>0.71120000000000005</v>
      </c>
      <c r="N51" s="31">
        <f t="shared" si="33"/>
        <v>9.5299999999999985E-3</v>
      </c>
      <c r="O51" s="32">
        <f t="shared" si="34"/>
        <v>0.69214000000000009</v>
      </c>
      <c r="P51" s="58">
        <f t="shared" si="43"/>
        <v>1.7500000000000002E-5</v>
      </c>
      <c r="Q51" s="30">
        <f t="shared" si="35"/>
        <v>1020253.4744572043</v>
      </c>
      <c r="R51" s="29">
        <f t="shared" si="36"/>
        <v>700</v>
      </c>
      <c r="S51" s="29">
        <f t="shared" si="37"/>
        <v>1030</v>
      </c>
      <c r="T51" s="15">
        <f t="shared" si="38"/>
        <v>0.7</v>
      </c>
      <c r="U51" s="33">
        <f t="shared" ca="1" si="39"/>
        <v>9.0707496968984636</v>
      </c>
      <c r="V51" s="33">
        <f t="shared" ca="1" si="40"/>
        <v>9.0707496968984636</v>
      </c>
      <c r="W51" s="34">
        <f t="shared" ca="1" si="41"/>
        <v>0</v>
      </c>
    </row>
    <row r="52" spans="1:23">
      <c r="A52" s="22">
        <v>5</v>
      </c>
      <c r="B52" s="57">
        <f t="shared" si="22"/>
        <v>1.8333333333333337E-2</v>
      </c>
      <c r="C52" s="24">
        <f t="shared" si="23"/>
        <v>692.1400000000001</v>
      </c>
      <c r="D52" s="25">
        <f t="shared" si="24"/>
        <v>9.5299999999999994</v>
      </c>
      <c r="E52" s="24">
        <f t="shared" si="25"/>
        <v>1.8604596757802316</v>
      </c>
      <c r="F52" s="26">
        <f t="shared" ca="1" si="42"/>
        <v>1.2177972256432423E-2</v>
      </c>
      <c r="G52" s="27">
        <f t="shared" ca="1" si="26"/>
        <v>310.50663396286512</v>
      </c>
      <c r="H52" s="28">
        <f t="shared" ca="1" si="27"/>
        <v>2677.3982254723692</v>
      </c>
      <c r="I52" s="28">
        <f t="shared" si="28"/>
        <v>8622.6764024390268</v>
      </c>
      <c r="J52" s="120">
        <f t="shared" ca="1" si="29"/>
        <v>3935775.3914443823</v>
      </c>
      <c r="K52" s="120">
        <f t="shared" si="30"/>
        <v>12675334.311585369</v>
      </c>
      <c r="L52" s="29">
        <f t="shared" si="31"/>
        <v>1.2999999999999999E-3</v>
      </c>
      <c r="M52" s="15">
        <f t="shared" si="32"/>
        <v>0.71120000000000005</v>
      </c>
      <c r="N52" s="31">
        <f t="shared" si="33"/>
        <v>9.5299999999999985E-3</v>
      </c>
      <c r="O52" s="32">
        <f t="shared" si="34"/>
        <v>0.69214000000000009</v>
      </c>
      <c r="P52" s="58">
        <f t="shared" si="43"/>
        <v>1.8333333333333336E-5</v>
      </c>
      <c r="Q52" s="30">
        <f t="shared" si="35"/>
        <v>1020253.4744572043</v>
      </c>
      <c r="R52" s="29">
        <f t="shared" si="36"/>
        <v>700</v>
      </c>
      <c r="S52" s="29">
        <f t="shared" si="37"/>
        <v>1030</v>
      </c>
      <c r="T52" s="15">
        <f t="shared" si="38"/>
        <v>0.7</v>
      </c>
      <c r="U52" s="33">
        <f t="shared" ca="1" si="39"/>
        <v>9.0617590422654217</v>
      </c>
      <c r="V52" s="33">
        <f t="shared" ca="1" si="40"/>
        <v>9.0617590422654217</v>
      </c>
      <c r="W52" s="34">
        <f t="shared" ca="1" si="41"/>
        <v>0</v>
      </c>
    </row>
    <row r="53" spans="1:23">
      <c r="A53" s="22">
        <v>6</v>
      </c>
      <c r="B53" s="57">
        <f t="shared" si="22"/>
        <v>1.9166666666666672E-2</v>
      </c>
      <c r="C53" s="24">
        <f t="shared" si="23"/>
        <v>692.1400000000001</v>
      </c>
      <c r="D53" s="25">
        <f t="shared" si="24"/>
        <v>9.5299999999999994</v>
      </c>
      <c r="E53" s="24">
        <f t="shared" si="25"/>
        <v>1.8604596757802316</v>
      </c>
      <c r="F53" s="26">
        <f t="shared" ca="1" si="42"/>
        <v>1.2201941434128168E-2</v>
      </c>
      <c r="G53" s="27">
        <f t="shared" ca="1" si="26"/>
        <v>311.11778568241618</v>
      </c>
      <c r="H53" s="28">
        <f t="shared" ca="1" si="27"/>
        <v>2682.667988982852</v>
      </c>
      <c r="I53" s="28">
        <f t="shared" si="28"/>
        <v>8622.6764024390268</v>
      </c>
      <c r="J53" s="120">
        <f t="shared" ca="1" si="29"/>
        <v>3943521.9438047921</v>
      </c>
      <c r="K53" s="120">
        <f t="shared" si="30"/>
        <v>12675334.311585369</v>
      </c>
      <c r="L53" s="29">
        <f t="shared" si="31"/>
        <v>1.2999999999999999E-3</v>
      </c>
      <c r="M53" s="15">
        <f t="shared" si="32"/>
        <v>0.71120000000000005</v>
      </c>
      <c r="N53" s="31">
        <f t="shared" si="33"/>
        <v>9.5299999999999985E-3</v>
      </c>
      <c r="O53" s="32">
        <f t="shared" si="34"/>
        <v>0.69214000000000009</v>
      </c>
      <c r="P53" s="58">
        <f t="shared" si="43"/>
        <v>1.9166666666666671E-5</v>
      </c>
      <c r="Q53" s="30">
        <f t="shared" si="35"/>
        <v>1020253.4744572043</v>
      </c>
      <c r="R53" s="29">
        <f t="shared" si="36"/>
        <v>700</v>
      </c>
      <c r="S53" s="29">
        <f t="shared" si="37"/>
        <v>1030</v>
      </c>
      <c r="T53" s="15">
        <f t="shared" si="38"/>
        <v>0.7</v>
      </c>
      <c r="U53" s="33">
        <f t="shared" ca="1" si="39"/>
        <v>9.0528543246951543</v>
      </c>
      <c r="V53" s="33">
        <f t="shared" ca="1" si="40"/>
        <v>9.0528543246951543</v>
      </c>
      <c r="W53" s="34">
        <f t="shared" ca="1" si="41"/>
        <v>0</v>
      </c>
    </row>
    <row r="54" spans="1:23">
      <c r="A54" s="22">
        <v>7</v>
      </c>
      <c r="B54" s="57">
        <f t="shared" si="22"/>
        <v>2.0000000000000004E-2</v>
      </c>
      <c r="C54" s="24">
        <f t="shared" si="23"/>
        <v>692.1400000000001</v>
      </c>
      <c r="D54" s="25">
        <f t="shared" si="24"/>
        <v>9.5299999999999994</v>
      </c>
      <c r="E54" s="24">
        <f t="shared" si="25"/>
        <v>1.8604596757802316</v>
      </c>
      <c r="F54" s="26">
        <f t="shared" ca="1" si="42"/>
        <v>1.2225753347730416E-2</v>
      </c>
      <c r="G54" s="27">
        <f t="shared" ca="1" si="26"/>
        <v>311.72492757641612</v>
      </c>
      <c r="H54" s="28">
        <f t="shared" ca="1" si="27"/>
        <v>2687.9031770651773</v>
      </c>
      <c r="I54" s="28">
        <f t="shared" si="28"/>
        <v>8622.6764024390268</v>
      </c>
      <c r="J54" s="120">
        <f t="shared" ca="1" si="29"/>
        <v>3951217.6702858103</v>
      </c>
      <c r="K54" s="120">
        <f t="shared" si="30"/>
        <v>12675334.311585369</v>
      </c>
      <c r="L54" s="29">
        <f t="shared" si="31"/>
        <v>1.2999999999999999E-3</v>
      </c>
      <c r="M54" s="15">
        <f t="shared" si="32"/>
        <v>0.71120000000000005</v>
      </c>
      <c r="N54" s="31">
        <f t="shared" si="33"/>
        <v>9.5299999999999985E-3</v>
      </c>
      <c r="O54" s="32">
        <f t="shared" si="34"/>
        <v>0.69214000000000009</v>
      </c>
      <c r="P54" s="58">
        <f t="shared" si="43"/>
        <v>2.0000000000000005E-5</v>
      </c>
      <c r="Q54" s="30">
        <f t="shared" si="35"/>
        <v>1020253.4744572043</v>
      </c>
      <c r="R54" s="29">
        <f t="shared" si="36"/>
        <v>700</v>
      </c>
      <c r="S54" s="29">
        <f t="shared" si="37"/>
        <v>1030</v>
      </c>
      <c r="T54" s="15">
        <f t="shared" si="38"/>
        <v>0.7</v>
      </c>
      <c r="U54" s="33">
        <f t="shared" ca="1" si="39"/>
        <v>9.044033974537955</v>
      </c>
      <c r="V54" s="33">
        <f t="shared" ca="1" si="40"/>
        <v>9.044033974537955</v>
      </c>
      <c r="W54" s="34">
        <f t="shared" ca="1" si="41"/>
        <v>0</v>
      </c>
    </row>
    <row r="55" spans="1:23">
      <c r="A55" s="22">
        <v>8</v>
      </c>
      <c r="B55" s="57">
        <f t="shared" si="22"/>
        <v>2.0833333333333339E-2</v>
      </c>
      <c r="C55" s="24">
        <f t="shared" si="23"/>
        <v>692.1400000000001</v>
      </c>
      <c r="D55" s="25">
        <f t="shared" si="24"/>
        <v>9.5299999999999994</v>
      </c>
      <c r="E55" s="24">
        <f t="shared" si="25"/>
        <v>1.8604596757802316</v>
      </c>
      <c r="F55" s="26">
        <f t="shared" ca="1" si="42"/>
        <v>1.2249410414024471E-2</v>
      </c>
      <c r="G55" s="27">
        <f t="shared" ca="1" si="26"/>
        <v>312.3281212666073</v>
      </c>
      <c r="H55" s="28">
        <f t="shared" ca="1" si="27"/>
        <v>2693.104321063689</v>
      </c>
      <c r="I55" s="28">
        <f t="shared" si="28"/>
        <v>8622.6764024390268</v>
      </c>
      <c r="J55" s="120">
        <f t="shared" ca="1" si="29"/>
        <v>3958863.3519636225</v>
      </c>
      <c r="K55" s="120">
        <f t="shared" si="30"/>
        <v>12675334.311585369</v>
      </c>
      <c r="L55" s="29">
        <f t="shared" si="31"/>
        <v>1.2999999999999999E-3</v>
      </c>
      <c r="M55" s="15">
        <f t="shared" si="32"/>
        <v>0.71120000000000005</v>
      </c>
      <c r="N55" s="31">
        <f t="shared" si="33"/>
        <v>9.5299999999999985E-3</v>
      </c>
      <c r="O55" s="32">
        <f t="shared" si="34"/>
        <v>0.69214000000000009</v>
      </c>
      <c r="P55" s="58">
        <f t="shared" si="43"/>
        <v>2.0833333333333339E-5</v>
      </c>
      <c r="Q55" s="30">
        <f t="shared" si="35"/>
        <v>1020253.4744572043</v>
      </c>
      <c r="R55" s="29">
        <f t="shared" si="36"/>
        <v>700</v>
      </c>
      <c r="S55" s="29">
        <f t="shared" si="37"/>
        <v>1030</v>
      </c>
      <c r="T55" s="15">
        <f t="shared" si="38"/>
        <v>0.7</v>
      </c>
      <c r="U55" s="33">
        <f t="shared" ca="1" si="39"/>
        <v>9.0352964636720507</v>
      </c>
      <c r="V55" s="33">
        <f t="shared" ca="1" si="40"/>
        <v>9.0352964636720507</v>
      </c>
      <c r="W55" s="34">
        <f t="shared" ca="1" si="41"/>
        <v>0</v>
      </c>
    </row>
    <row r="56" spans="1:23">
      <c r="A56" s="22">
        <v>9</v>
      </c>
      <c r="B56" s="57">
        <f t="shared" si="22"/>
        <v>2.1666666666666674E-2</v>
      </c>
      <c r="C56" s="24">
        <f t="shared" si="23"/>
        <v>692.1400000000001</v>
      </c>
      <c r="D56" s="25">
        <f t="shared" si="24"/>
        <v>9.5299999999999994</v>
      </c>
      <c r="E56" s="24">
        <f t="shared" si="25"/>
        <v>1.8604596757802316</v>
      </c>
      <c r="F56" s="26">
        <f t="shared" ca="1" si="42"/>
        <v>1.2272914993430669E-2</v>
      </c>
      <c r="G56" s="27">
        <f t="shared" ca="1" si="26"/>
        <v>312.92742693757197</v>
      </c>
      <c r="H56" s="28">
        <f t="shared" ca="1" si="27"/>
        <v>2698.2719399305638</v>
      </c>
      <c r="I56" s="28">
        <f t="shared" si="28"/>
        <v>8622.6764024390268</v>
      </c>
      <c r="J56" s="120">
        <f t="shared" ca="1" si="29"/>
        <v>3966459.7516979286</v>
      </c>
      <c r="K56" s="120">
        <f t="shared" si="30"/>
        <v>12675334.311585369</v>
      </c>
      <c r="L56" s="29">
        <f t="shared" si="31"/>
        <v>1.2999999999999999E-3</v>
      </c>
      <c r="M56" s="15">
        <f t="shared" si="32"/>
        <v>0.71120000000000005</v>
      </c>
      <c r="N56" s="31">
        <f t="shared" si="33"/>
        <v>9.5299999999999985E-3</v>
      </c>
      <c r="O56" s="32">
        <f t="shared" si="34"/>
        <v>0.69214000000000009</v>
      </c>
      <c r="P56" s="58">
        <f t="shared" si="43"/>
        <v>2.1666666666666674E-5</v>
      </c>
      <c r="Q56" s="30">
        <f t="shared" si="35"/>
        <v>1020253.4744572043</v>
      </c>
      <c r="R56" s="29">
        <f t="shared" si="36"/>
        <v>700</v>
      </c>
      <c r="S56" s="29">
        <f t="shared" si="37"/>
        <v>1030</v>
      </c>
      <c r="T56" s="15">
        <f t="shared" si="38"/>
        <v>0.7</v>
      </c>
      <c r="U56" s="33">
        <f t="shared" ca="1" si="39"/>
        <v>9.0266403040819423</v>
      </c>
      <c r="V56" s="33">
        <f t="shared" ca="1" si="40"/>
        <v>9.0266403040819423</v>
      </c>
      <c r="W56" s="34">
        <f t="shared" ca="1" si="41"/>
        <v>0</v>
      </c>
    </row>
    <row r="57" spans="1:23">
      <c r="A57" s="22">
        <v>10</v>
      </c>
      <c r="B57" s="57">
        <f t="shared" si="22"/>
        <v>2.250000000000001E-2</v>
      </c>
      <c r="C57" s="24">
        <f t="shared" si="23"/>
        <v>692.1400000000001</v>
      </c>
      <c r="D57" s="25">
        <f t="shared" si="24"/>
        <v>9.5299999999999994</v>
      </c>
      <c r="E57" s="24">
        <f t="shared" si="25"/>
        <v>1.8604596757802316</v>
      </c>
      <c r="F57" s="26">
        <f t="shared" ca="1" si="42"/>
        <v>1.2296269391737658E-2</v>
      </c>
      <c r="G57" s="27">
        <f t="shared" ca="1" si="26"/>
        <v>313.52290338092655</v>
      </c>
      <c r="H57" s="28">
        <f t="shared" ca="1" si="27"/>
        <v>2703.4065406068862</v>
      </c>
      <c r="I57" s="28">
        <f t="shared" si="28"/>
        <v>8622.6764024390268</v>
      </c>
      <c r="J57" s="120">
        <f t="shared" ca="1" si="29"/>
        <v>3974007.6146921222</v>
      </c>
      <c r="K57" s="120">
        <f t="shared" si="30"/>
        <v>12675334.311585369</v>
      </c>
      <c r="L57" s="29">
        <f t="shared" si="31"/>
        <v>1.2999999999999999E-3</v>
      </c>
      <c r="M57" s="15">
        <f t="shared" si="32"/>
        <v>0.71120000000000005</v>
      </c>
      <c r="N57" s="31">
        <f t="shared" si="33"/>
        <v>9.5299999999999985E-3</v>
      </c>
      <c r="O57" s="32">
        <f t="shared" si="34"/>
        <v>0.69214000000000009</v>
      </c>
      <c r="P57" s="58">
        <f t="shared" si="43"/>
        <v>2.2500000000000008E-5</v>
      </c>
      <c r="Q57" s="30">
        <f t="shared" si="35"/>
        <v>1020253.4744572043</v>
      </c>
      <c r="R57" s="29">
        <f t="shared" si="36"/>
        <v>700</v>
      </c>
      <c r="S57" s="29">
        <f t="shared" si="37"/>
        <v>1030</v>
      </c>
      <c r="T57" s="15">
        <f t="shared" si="38"/>
        <v>0.7</v>
      </c>
      <c r="U57" s="33">
        <f t="shared" ca="1" si="39"/>
        <v>9.0180640464959403</v>
      </c>
      <c r="V57" s="33">
        <f t="shared" ca="1" si="40"/>
        <v>9.0180640464959403</v>
      </c>
      <c r="W57" s="34">
        <f t="shared" ca="1" si="41"/>
        <v>0</v>
      </c>
    </row>
    <row r="58" spans="1:23">
      <c r="A58" s="22">
        <v>11</v>
      </c>
      <c r="B58" s="57">
        <f t="shared" si="22"/>
        <v>2.3333333333333341E-2</v>
      </c>
      <c r="C58" s="24">
        <f t="shared" si="23"/>
        <v>692.1400000000001</v>
      </c>
      <c r="D58" s="25">
        <f t="shared" si="24"/>
        <v>9.5299999999999994</v>
      </c>
      <c r="E58" s="24">
        <f t="shared" si="25"/>
        <v>1.8604596757802316</v>
      </c>
      <c r="F58" s="26">
        <f t="shared" ca="1" si="42"/>
        <v>1.2319475861770398E-2</v>
      </c>
      <c r="G58" s="27">
        <f t="shared" ca="1" si="26"/>
        <v>314.11460803785093</v>
      </c>
      <c r="H58" s="28">
        <f t="shared" ca="1" si="27"/>
        <v>2708.5086183893609</v>
      </c>
      <c r="I58" s="28">
        <f t="shared" si="28"/>
        <v>8622.6764024390268</v>
      </c>
      <c r="J58" s="120">
        <f t="shared" ca="1" si="29"/>
        <v>3981507.66903236</v>
      </c>
      <c r="K58" s="120">
        <f t="shared" si="30"/>
        <v>12675334.311585369</v>
      </c>
      <c r="L58" s="29">
        <f t="shared" si="31"/>
        <v>1.2999999999999999E-3</v>
      </c>
      <c r="M58" s="15">
        <f t="shared" si="32"/>
        <v>0.71120000000000005</v>
      </c>
      <c r="N58" s="31">
        <f t="shared" si="33"/>
        <v>9.5299999999999985E-3</v>
      </c>
      <c r="O58" s="32">
        <f t="shared" si="34"/>
        <v>0.69214000000000009</v>
      </c>
      <c r="P58" s="58">
        <f t="shared" si="43"/>
        <v>2.3333333333333343E-5</v>
      </c>
      <c r="Q58" s="30">
        <f t="shared" si="35"/>
        <v>1020253.4744572043</v>
      </c>
      <c r="R58" s="29">
        <f t="shared" si="36"/>
        <v>700</v>
      </c>
      <c r="S58" s="29">
        <f t="shared" si="37"/>
        <v>1030</v>
      </c>
      <c r="T58" s="15">
        <f t="shared" si="38"/>
        <v>0.7</v>
      </c>
      <c r="U58" s="33">
        <f t="shared" ca="1" si="39"/>
        <v>9.0095662790800066</v>
      </c>
      <c r="V58" s="33">
        <f t="shared" ca="1" si="40"/>
        <v>9.0095662790800066</v>
      </c>
      <c r="W58" s="34">
        <f t="shared" ca="1" si="41"/>
        <v>0</v>
      </c>
    </row>
    <row r="59" spans="1:23">
      <c r="A59" s="22">
        <v>12</v>
      </c>
      <c r="B59" s="57">
        <f t="shared" si="22"/>
        <v>2.4166666666666677E-2</v>
      </c>
      <c r="C59" s="24">
        <f t="shared" si="23"/>
        <v>692.1400000000001</v>
      </c>
      <c r="D59" s="25">
        <f t="shared" si="24"/>
        <v>9.5299999999999994</v>
      </c>
      <c r="E59" s="24">
        <f t="shared" si="25"/>
        <v>1.8604596757802316</v>
      </c>
      <c r="F59" s="26">
        <f t="shared" ca="1" si="42"/>
        <v>1.234253660499561E-2</v>
      </c>
      <c r="G59" s="27">
        <f t="shared" ca="1" si="26"/>
        <v>314.70259704002331</v>
      </c>
      <c r="H59" s="28">
        <f t="shared" ca="1" si="27"/>
        <v>2713.5786572832867</v>
      </c>
      <c r="I59" s="28">
        <f t="shared" si="28"/>
        <v>8622.6764024390268</v>
      </c>
      <c r="J59" s="120">
        <f t="shared" ca="1" si="29"/>
        <v>3988960.6262064315</v>
      </c>
      <c r="K59" s="120">
        <f t="shared" si="30"/>
        <v>12675334.311585369</v>
      </c>
      <c r="L59" s="29">
        <f t="shared" si="31"/>
        <v>1.2999999999999999E-3</v>
      </c>
      <c r="M59" s="15">
        <f t="shared" si="32"/>
        <v>0.71120000000000005</v>
      </c>
      <c r="N59" s="31">
        <f t="shared" si="33"/>
        <v>9.5299999999999985E-3</v>
      </c>
      <c r="O59" s="32">
        <f t="shared" si="34"/>
        <v>0.69214000000000009</v>
      </c>
      <c r="P59" s="58">
        <f t="shared" si="43"/>
        <v>2.4166666666666677E-5</v>
      </c>
      <c r="Q59" s="30">
        <f t="shared" si="35"/>
        <v>1020253.4744572043</v>
      </c>
      <c r="R59" s="29">
        <f t="shared" si="36"/>
        <v>700</v>
      </c>
      <c r="S59" s="29">
        <f t="shared" si="37"/>
        <v>1030</v>
      </c>
      <c r="T59" s="15">
        <f t="shared" si="38"/>
        <v>0.7</v>
      </c>
      <c r="U59" s="33">
        <f t="shared" ca="1" si="39"/>
        <v>9.0011456261852061</v>
      </c>
      <c r="V59" s="33">
        <f t="shared" ca="1" si="40"/>
        <v>9.0011456261852043</v>
      </c>
      <c r="W59" s="34">
        <f t="shared" ca="1" si="41"/>
        <v>0</v>
      </c>
    </row>
    <row r="60" spans="1:23">
      <c r="A60" s="22">
        <v>13</v>
      </c>
      <c r="B60" s="57">
        <f t="shared" si="22"/>
        <v>2.5000000000000012E-2</v>
      </c>
      <c r="C60" s="24">
        <f t="shared" si="23"/>
        <v>692.1400000000001</v>
      </c>
      <c r="D60" s="25">
        <f t="shared" si="24"/>
        <v>9.5299999999999994</v>
      </c>
      <c r="E60" s="24">
        <f t="shared" si="25"/>
        <v>1.8604596757802316</v>
      </c>
      <c r="F60" s="26">
        <f t="shared" ca="1" si="42"/>
        <v>1.2365453773067607E-2</v>
      </c>
      <c r="G60" s="27">
        <f t="shared" ca="1" si="26"/>
        <v>315.28692524903511</v>
      </c>
      <c r="H60" s="28">
        <f t="shared" ca="1" si="27"/>
        <v>2718.6171303424117</v>
      </c>
      <c r="I60" s="28">
        <f t="shared" si="28"/>
        <v>8622.6764024390268</v>
      </c>
      <c r="J60" s="120">
        <f t="shared" ca="1" si="29"/>
        <v>3996367.1816033451</v>
      </c>
      <c r="K60" s="120">
        <f t="shared" si="30"/>
        <v>12675334.311585369</v>
      </c>
      <c r="L60" s="29">
        <f t="shared" si="31"/>
        <v>1.2999999999999999E-3</v>
      </c>
      <c r="M60" s="15">
        <f t="shared" si="32"/>
        <v>0.71120000000000005</v>
      </c>
      <c r="N60" s="31">
        <f t="shared" si="33"/>
        <v>9.5299999999999985E-3</v>
      </c>
      <c r="O60" s="32">
        <f t="shared" si="34"/>
        <v>0.69214000000000009</v>
      </c>
      <c r="P60" s="58">
        <f t="shared" si="43"/>
        <v>2.5000000000000011E-5</v>
      </c>
      <c r="Q60" s="30">
        <f t="shared" si="35"/>
        <v>1020253.4744572043</v>
      </c>
      <c r="R60" s="29">
        <f t="shared" si="36"/>
        <v>700</v>
      </c>
      <c r="S60" s="29">
        <f t="shared" si="37"/>
        <v>1030</v>
      </c>
      <c r="T60" s="15">
        <f t="shared" si="38"/>
        <v>0.7</v>
      </c>
      <c r="U60" s="33">
        <f t="shared" ca="1" si="39"/>
        <v>8.992800747146152</v>
      </c>
      <c r="V60" s="33">
        <f t="shared" ca="1" si="40"/>
        <v>8.992800747146152</v>
      </c>
      <c r="W60" s="34">
        <f t="shared" ca="1" si="41"/>
        <v>0</v>
      </c>
    </row>
    <row r="61" spans="1:23">
      <c r="A61" s="22">
        <v>14</v>
      </c>
      <c r="B61" s="57">
        <f t="shared" si="22"/>
        <v>2.5833333333333347E-2</v>
      </c>
      <c r="C61" s="24">
        <f t="shared" si="23"/>
        <v>692.1400000000001</v>
      </c>
      <c r="D61" s="25">
        <f t="shared" si="24"/>
        <v>9.5299999999999994</v>
      </c>
      <c r="E61" s="24">
        <f t="shared" si="25"/>
        <v>1.8604596757802316</v>
      </c>
      <c r="F61" s="26">
        <f t="shared" ca="1" si="42"/>
        <v>1.2388229469316909E-2</v>
      </c>
      <c r="G61" s="27">
        <f t="shared" ca="1" si="26"/>
        <v>315.86764629434674</v>
      </c>
      <c r="H61" s="28">
        <f t="shared" ca="1" si="27"/>
        <v>2723.62449999622</v>
      </c>
      <c r="I61" s="28">
        <f t="shared" si="28"/>
        <v>8622.6764024390268</v>
      </c>
      <c r="J61" s="120">
        <f t="shared" ca="1" si="29"/>
        <v>4003728.0149944434</v>
      </c>
      <c r="K61" s="120">
        <f t="shared" si="30"/>
        <v>12675334.311585369</v>
      </c>
      <c r="L61" s="29">
        <f t="shared" si="31"/>
        <v>1.2999999999999999E-3</v>
      </c>
      <c r="M61" s="15">
        <f t="shared" si="32"/>
        <v>0.71120000000000005</v>
      </c>
      <c r="N61" s="31">
        <f t="shared" si="33"/>
        <v>9.5299999999999985E-3</v>
      </c>
      <c r="O61" s="32">
        <f t="shared" si="34"/>
        <v>0.69214000000000009</v>
      </c>
      <c r="P61" s="58">
        <f t="shared" si="43"/>
        <v>2.5833333333333346E-5</v>
      </c>
      <c r="Q61" s="30">
        <f t="shared" si="35"/>
        <v>1020253.4744572043</v>
      </c>
      <c r="R61" s="29">
        <f t="shared" si="36"/>
        <v>700</v>
      </c>
      <c r="S61" s="29">
        <f t="shared" si="37"/>
        <v>1030</v>
      </c>
      <c r="T61" s="15">
        <f t="shared" si="38"/>
        <v>0.7</v>
      </c>
      <c r="U61" s="33">
        <f t="shared" ca="1" si="39"/>
        <v>8.9845303351280652</v>
      </c>
      <c r="V61" s="33">
        <f t="shared" ca="1" si="40"/>
        <v>8.9845303351280652</v>
      </c>
      <c r="W61" s="34">
        <f t="shared" ca="1" si="41"/>
        <v>0</v>
      </c>
    </row>
    <row r="62" spans="1:23">
      <c r="A62" s="22">
        <v>15</v>
      </c>
      <c r="B62" s="57">
        <f t="shared" si="22"/>
        <v>2.6666666666666679E-2</v>
      </c>
      <c r="C62" s="24">
        <f t="shared" si="23"/>
        <v>692.1400000000001</v>
      </c>
      <c r="D62" s="25">
        <f t="shared" si="24"/>
        <v>9.5299999999999994</v>
      </c>
      <c r="E62" s="24">
        <f t="shared" si="25"/>
        <v>1.8604596757802316</v>
      </c>
      <c r="F62" s="26">
        <f t="shared" ca="1" si="42"/>
        <v>1.2410865750184319E-2</v>
      </c>
      <c r="G62" s="27">
        <f t="shared" ca="1" si="26"/>
        <v>316.44481260985259</v>
      </c>
      <c r="H62" s="28">
        <f t="shared" ca="1" si="27"/>
        <v>2728.6012183652151</v>
      </c>
      <c r="I62" s="28">
        <f t="shared" si="28"/>
        <v>8622.6764024390268</v>
      </c>
      <c r="J62" s="120">
        <f t="shared" ca="1" si="29"/>
        <v>4011043.7909968658</v>
      </c>
      <c r="K62" s="120">
        <f t="shared" si="30"/>
        <v>12675334.311585369</v>
      </c>
      <c r="L62" s="29">
        <f t="shared" si="31"/>
        <v>1.2999999999999999E-3</v>
      </c>
      <c r="M62" s="15">
        <f t="shared" si="32"/>
        <v>0.71120000000000005</v>
      </c>
      <c r="N62" s="31">
        <f t="shared" si="33"/>
        <v>9.5299999999999985E-3</v>
      </c>
      <c r="O62" s="32">
        <f t="shared" si="34"/>
        <v>0.69214000000000009</v>
      </c>
      <c r="P62" s="58">
        <f t="shared" si="43"/>
        <v>2.666666666666668E-5</v>
      </c>
      <c r="Q62" s="30">
        <f t="shared" si="35"/>
        <v>1020253.4744572043</v>
      </c>
      <c r="R62" s="29">
        <f t="shared" si="36"/>
        <v>700</v>
      </c>
      <c r="S62" s="29">
        <f t="shared" si="37"/>
        <v>1030</v>
      </c>
      <c r="T62" s="15">
        <f t="shared" si="38"/>
        <v>0.7</v>
      </c>
      <c r="U62" s="33">
        <f t="shared" ca="1" si="39"/>
        <v>8.976333116020097</v>
      </c>
      <c r="V62" s="33">
        <f t="shared" ca="1" si="40"/>
        <v>8.976333116020097</v>
      </c>
      <c r="W62" s="34">
        <f t="shared" ca="1" si="41"/>
        <v>0</v>
      </c>
    </row>
    <row r="63" spans="1:23">
      <c r="A63" s="22">
        <v>16</v>
      </c>
      <c r="B63" s="57">
        <f t="shared" si="22"/>
        <v>2.7500000000000014E-2</v>
      </c>
      <c r="C63" s="24">
        <f t="shared" si="23"/>
        <v>692.1400000000001</v>
      </c>
      <c r="D63" s="25">
        <f t="shared" si="24"/>
        <v>9.5299999999999994</v>
      </c>
      <c r="E63" s="24">
        <f t="shared" si="25"/>
        <v>1.8604596757802316</v>
      </c>
      <c r="F63" s="26">
        <f t="shared" ca="1" si="42"/>
        <v>1.2433364626602623E-2</v>
      </c>
      <c r="G63" s="27">
        <f t="shared" ca="1" si="26"/>
        <v>317.01847546911091</v>
      </c>
      <c r="H63" s="28">
        <f t="shared" ca="1" si="27"/>
        <v>2733.5477275646977</v>
      </c>
      <c r="I63" s="28">
        <f t="shared" si="28"/>
        <v>8622.6764024390268</v>
      </c>
      <c r="J63" s="120">
        <f t="shared" ca="1" si="29"/>
        <v>4018315.1595201055</v>
      </c>
      <c r="K63" s="120">
        <f t="shared" si="30"/>
        <v>12675334.311585369</v>
      </c>
      <c r="L63" s="29">
        <f t="shared" si="31"/>
        <v>1.2999999999999999E-3</v>
      </c>
      <c r="M63" s="15">
        <f t="shared" si="32"/>
        <v>0.71120000000000005</v>
      </c>
      <c r="N63" s="31">
        <f t="shared" si="33"/>
        <v>9.5299999999999985E-3</v>
      </c>
      <c r="O63" s="32">
        <f t="shared" si="34"/>
        <v>0.69214000000000009</v>
      </c>
      <c r="P63" s="58">
        <f t="shared" si="43"/>
        <v>2.7500000000000015E-5</v>
      </c>
      <c r="Q63" s="30">
        <f t="shared" si="35"/>
        <v>1020253.4744572043</v>
      </c>
      <c r="R63" s="29">
        <f t="shared" si="36"/>
        <v>700</v>
      </c>
      <c r="S63" s="29">
        <f t="shared" si="37"/>
        <v>1030</v>
      </c>
      <c r="T63" s="15">
        <f t="shared" si="38"/>
        <v>0.7</v>
      </c>
      <c r="U63" s="33">
        <f t="shared" ca="1" si="39"/>
        <v>8.9682078473727795</v>
      </c>
      <c r="V63" s="33">
        <f t="shared" ca="1" si="40"/>
        <v>8.9682078473727795</v>
      </c>
      <c r="W63" s="34">
        <f t="shared" ca="1" si="41"/>
        <v>0</v>
      </c>
    </row>
    <row r="64" spans="1:23">
      <c r="A64" s="22">
        <v>17</v>
      </c>
      <c r="B64" s="57">
        <f t="shared" si="22"/>
        <v>2.8333333333333349E-2</v>
      </c>
      <c r="C64" s="24">
        <f t="shared" si="23"/>
        <v>692.1400000000001</v>
      </c>
      <c r="D64" s="25">
        <f t="shared" si="24"/>
        <v>9.5299999999999994</v>
      </c>
      <c r="E64" s="24">
        <f t="shared" si="25"/>
        <v>1.8604596757802316</v>
      </c>
      <c r="F64" s="26">
        <f t="shared" ca="1" si="42"/>
        <v>1.2455728065328322E-2</v>
      </c>
      <c r="G64" s="27">
        <f t="shared" ca="1" si="26"/>
        <v>317.5886850192997</v>
      </c>
      <c r="H64" s="28">
        <f t="shared" ca="1" si="27"/>
        <v>2738.4644599975563</v>
      </c>
      <c r="I64" s="28">
        <f t="shared" si="28"/>
        <v>8622.6764024390268</v>
      </c>
      <c r="J64" s="120">
        <f t="shared" ca="1" si="29"/>
        <v>4025542.7561964076</v>
      </c>
      <c r="K64" s="120">
        <f t="shared" si="30"/>
        <v>12675334.311585369</v>
      </c>
      <c r="L64" s="29">
        <f t="shared" si="31"/>
        <v>1.2999999999999999E-3</v>
      </c>
      <c r="M64" s="15">
        <f t="shared" si="32"/>
        <v>0.71120000000000005</v>
      </c>
      <c r="N64" s="31">
        <f t="shared" si="33"/>
        <v>9.5299999999999985E-3</v>
      </c>
      <c r="O64" s="32">
        <f t="shared" si="34"/>
        <v>0.69214000000000009</v>
      </c>
      <c r="P64" s="58">
        <f t="shared" si="43"/>
        <v>2.8333333333333349E-5</v>
      </c>
      <c r="Q64" s="30">
        <f t="shared" si="35"/>
        <v>1020253.4744572043</v>
      </c>
      <c r="R64" s="29">
        <f t="shared" si="36"/>
        <v>700</v>
      </c>
      <c r="S64" s="29">
        <f t="shared" si="37"/>
        <v>1030</v>
      </c>
      <c r="T64" s="15">
        <f t="shared" si="38"/>
        <v>0.7</v>
      </c>
      <c r="U64" s="33">
        <f t="shared" ca="1" si="39"/>
        <v>8.9601533173775127</v>
      </c>
      <c r="V64" s="33">
        <f t="shared" ca="1" si="40"/>
        <v>8.9601533173775127</v>
      </c>
      <c r="W64" s="34">
        <f t="shared" ca="1" si="41"/>
        <v>0</v>
      </c>
    </row>
    <row r="65" spans="1:23">
      <c r="A65" s="22">
        <v>18</v>
      </c>
      <c r="B65" s="57">
        <f t="shared" si="22"/>
        <v>2.9166666666666684E-2</v>
      </c>
      <c r="C65" s="24">
        <f t="shared" si="23"/>
        <v>692.1400000000001</v>
      </c>
      <c r="D65" s="25">
        <f t="shared" si="24"/>
        <v>9.5299999999999994</v>
      </c>
      <c r="E65" s="24">
        <f t="shared" si="25"/>
        <v>1.8604596757802316</v>
      </c>
      <c r="F65" s="26">
        <f t="shared" ca="1" si="42"/>
        <v>1.2477957990225391E-2</v>
      </c>
      <c r="G65" s="27">
        <f t="shared" ca="1" si="26"/>
        <v>318.15549031394892</v>
      </c>
      <c r="H65" s="28">
        <f t="shared" ca="1" si="27"/>
        <v>2743.3518386365054</v>
      </c>
      <c r="I65" s="28">
        <f t="shared" si="28"/>
        <v>8622.6764024390268</v>
      </c>
      <c r="J65" s="120">
        <f t="shared" ca="1" si="29"/>
        <v>4032727.2027956629</v>
      </c>
      <c r="K65" s="120">
        <f t="shared" si="30"/>
        <v>12675334.311585369</v>
      </c>
      <c r="L65" s="29">
        <f t="shared" si="31"/>
        <v>1.2999999999999999E-3</v>
      </c>
      <c r="M65" s="15">
        <f t="shared" si="32"/>
        <v>0.71120000000000005</v>
      </c>
      <c r="N65" s="31">
        <f t="shared" si="33"/>
        <v>9.5299999999999985E-3</v>
      </c>
      <c r="O65" s="32">
        <f t="shared" si="34"/>
        <v>0.69214000000000009</v>
      </c>
      <c r="P65" s="58">
        <f t="shared" si="43"/>
        <v>2.9166666666666683E-5</v>
      </c>
      <c r="Q65" s="30">
        <f t="shared" si="35"/>
        <v>1020253.4744572043</v>
      </c>
      <c r="R65" s="29">
        <f t="shared" si="36"/>
        <v>700</v>
      </c>
      <c r="S65" s="29">
        <f t="shared" si="37"/>
        <v>1030</v>
      </c>
      <c r="T65" s="15">
        <f t="shared" si="38"/>
        <v>0.7</v>
      </c>
      <c r="U65" s="33">
        <f t="shared" ca="1" si="39"/>
        <v>8.9521683438861608</v>
      </c>
      <c r="V65" s="33">
        <f t="shared" ca="1" si="40"/>
        <v>8.9521683438861608</v>
      </c>
      <c r="W65" s="34">
        <f t="shared" ca="1" si="41"/>
        <v>0</v>
      </c>
    </row>
    <row r="66" spans="1:23">
      <c r="A66" s="22">
        <v>19</v>
      </c>
      <c r="B66" s="57">
        <f t="shared" si="22"/>
        <v>3.0000000000000016E-2</v>
      </c>
      <c r="C66" s="24">
        <f t="shared" si="23"/>
        <v>692.1400000000001</v>
      </c>
      <c r="D66" s="25">
        <f t="shared" si="24"/>
        <v>9.5299999999999994</v>
      </c>
      <c r="E66" s="24">
        <f t="shared" si="25"/>
        <v>1.8604596757802316</v>
      </c>
      <c r="F66" s="26">
        <f t="shared" ca="1" si="42"/>
        <v>1.2500056283503168E-2</v>
      </c>
      <c r="G66" s="27">
        <f t="shared" ca="1" si="26"/>
        <v>318.71893934450344</v>
      </c>
      <c r="H66" s="28">
        <f t="shared" ca="1" si="27"/>
        <v>2748.2102772962448</v>
      </c>
      <c r="I66" s="28">
        <f t="shared" si="28"/>
        <v>8622.6764024390268</v>
      </c>
      <c r="J66" s="120">
        <f t="shared" ca="1" si="29"/>
        <v>4039869.1076254798</v>
      </c>
      <c r="K66" s="120">
        <f t="shared" si="30"/>
        <v>12675334.311585369</v>
      </c>
      <c r="L66" s="29">
        <f t="shared" si="31"/>
        <v>1.2999999999999999E-3</v>
      </c>
      <c r="M66" s="15">
        <f t="shared" si="32"/>
        <v>0.71120000000000005</v>
      </c>
      <c r="N66" s="31">
        <f t="shared" si="33"/>
        <v>9.5299999999999985E-3</v>
      </c>
      <c r="O66" s="32">
        <f t="shared" si="34"/>
        <v>0.69214000000000009</v>
      </c>
      <c r="P66" s="58">
        <f t="shared" si="43"/>
        <v>3.0000000000000018E-5</v>
      </c>
      <c r="Q66" s="30">
        <f t="shared" si="35"/>
        <v>1020253.4744572043</v>
      </c>
      <c r="R66" s="29">
        <f t="shared" si="36"/>
        <v>700</v>
      </c>
      <c r="S66" s="29">
        <f t="shared" si="37"/>
        <v>1030</v>
      </c>
      <c r="T66" s="15">
        <f t="shared" si="38"/>
        <v>0.7</v>
      </c>
      <c r="U66" s="33">
        <f t="shared" ca="1" si="39"/>
        <v>8.9442517734689044</v>
      </c>
      <c r="V66" s="33">
        <f t="shared" ca="1" si="40"/>
        <v>8.9442517734689044</v>
      </c>
      <c r="W66" s="34">
        <f t="shared" ca="1" si="41"/>
        <v>0</v>
      </c>
    </row>
    <row r="67" spans="1:23">
      <c r="A67" s="22">
        <v>20</v>
      </c>
      <c r="B67" s="57">
        <f t="shared" si="22"/>
        <v>3.0833333333333348E-2</v>
      </c>
      <c r="C67" s="24">
        <f t="shared" si="23"/>
        <v>692.1400000000001</v>
      </c>
      <c r="D67" s="25">
        <f t="shared" si="24"/>
        <v>9.5299999999999994</v>
      </c>
      <c r="E67" s="24">
        <f t="shared" si="25"/>
        <v>1.8604596757802316</v>
      </c>
      <c r="F67" s="26">
        <f t="shared" ca="1" si="42"/>
        <v>1.2522024786910292E-2</v>
      </c>
      <c r="G67" s="27">
        <f t="shared" ca="1" si="26"/>
        <v>319.2790790707657</v>
      </c>
      <c r="H67" s="28">
        <f t="shared" ca="1" si="27"/>
        <v>2753.040180895955</v>
      </c>
      <c r="I67" s="28">
        <f t="shared" si="28"/>
        <v>8622.6764024390268</v>
      </c>
      <c r="J67" s="120">
        <f t="shared" ca="1" si="29"/>
        <v>4046969.0659170533</v>
      </c>
      <c r="K67" s="120">
        <f t="shared" si="30"/>
        <v>12675334.311585369</v>
      </c>
      <c r="L67" s="29">
        <f t="shared" si="31"/>
        <v>1.2999999999999999E-3</v>
      </c>
      <c r="M67" s="15">
        <f t="shared" si="32"/>
        <v>0.71120000000000005</v>
      </c>
      <c r="N67" s="31">
        <f t="shared" si="33"/>
        <v>9.5299999999999985E-3</v>
      </c>
      <c r="O67" s="32">
        <f t="shared" si="34"/>
        <v>0.69214000000000009</v>
      </c>
      <c r="P67" s="58">
        <f t="shared" si="43"/>
        <v>3.0833333333333349E-5</v>
      </c>
      <c r="Q67" s="30">
        <f t="shared" si="35"/>
        <v>1020253.4744572043</v>
      </c>
      <c r="R67" s="29">
        <f t="shared" si="36"/>
        <v>700</v>
      </c>
      <c r="S67" s="29">
        <f t="shared" si="37"/>
        <v>1030</v>
      </c>
      <c r="T67" s="15">
        <f t="shared" si="38"/>
        <v>0.7</v>
      </c>
      <c r="U67" s="33">
        <f t="shared" ca="1" si="39"/>
        <v>8.9364024805085869</v>
      </c>
      <c r="V67" s="33">
        <f t="shared" ca="1" si="40"/>
        <v>8.9364024805085869</v>
      </c>
      <c r="W67" s="34">
        <f t="shared" ca="1" si="41"/>
        <v>0</v>
      </c>
    </row>
    <row r="68" spans="1:23">
      <c r="A68" s="22">
        <v>21</v>
      </c>
      <c r="B68" s="57">
        <f t="shared" si="22"/>
        <v>3.1666666666666676E-2</v>
      </c>
      <c r="C68" s="24">
        <f t="shared" si="23"/>
        <v>692.1400000000001</v>
      </c>
      <c r="D68" s="25">
        <f t="shared" si="24"/>
        <v>9.5299999999999994</v>
      </c>
      <c r="E68" s="24">
        <f t="shared" si="25"/>
        <v>1.8604596757802316</v>
      </c>
      <c r="F68" s="26">
        <f t="shared" ca="1" si="42"/>
        <v>1.2543865302886485E-2</v>
      </c>
      <c r="G68" s="27">
        <f t="shared" ca="1" si="26"/>
        <v>319.83595545026293</v>
      </c>
      <c r="H68" s="28">
        <f t="shared" ca="1" si="27"/>
        <v>2757.841945712521</v>
      </c>
      <c r="I68" s="28">
        <f t="shared" si="28"/>
        <v>8622.6764024390268</v>
      </c>
      <c r="J68" s="120">
        <f t="shared" ca="1" si="29"/>
        <v>4054027.6601974056</v>
      </c>
      <c r="K68" s="120">
        <f t="shared" si="30"/>
        <v>12675334.311585369</v>
      </c>
      <c r="L68" s="29">
        <f t="shared" si="31"/>
        <v>1.2999999999999999E-3</v>
      </c>
      <c r="M68" s="15">
        <f t="shared" si="32"/>
        <v>0.71120000000000005</v>
      </c>
      <c r="N68" s="31">
        <f t="shared" si="33"/>
        <v>9.5299999999999985E-3</v>
      </c>
      <c r="O68" s="32">
        <f t="shared" si="34"/>
        <v>0.69214000000000009</v>
      </c>
      <c r="P68" s="58">
        <f t="shared" si="43"/>
        <v>3.166666666666668E-5</v>
      </c>
      <c r="Q68" s="30">
        <f t="shared" si="35"/>
        <v>1020253.4744572043</v>
      </c>
      <c r="R68" s="29">
        <f t="shared" si="36"/>
        <v>700</v>
      </c>
      <c r="S68" s="29">
        <f t="shared" si="37"/>
        <v>1030</v>
      </c>
      <c r="T68" s="15">
        <f t="shared" si="38"/>
        <v>0.7</v>
      </c>
      <c r="U68" s="33">
        <f t="shared" ca="1" si="39"/>
        <v>8.9286193663299134</v>
      </c>
      <c r="V68" s="33">
        <f t="shared" ca="1" si="40"/>
        <v>8.9286193663299134</v>
      </c>
      <c r="W68" s="34">
        <f t="shared" ca="1" si="41"/>
        <v>0</v>
      </c>
    </row>
    <row r="69" spans="1:23">
      <c r="A69" s="22">
        <v>22</v>
      </c>
      <c r="B69" s="57">
        <f t="shared" si="22"/>
        <v>3.2500000000000008E-2</v>
      </c>
      <c r="C69" s="24">
        <f t="shared" si="23"/>
        <v>692.1400000000001</v>
      </c>
      <c r="D69" s="25">
        <f t="shared" si="24"/>
        <v>9.5299999999999994</v>
      </c>
      <c r="E69" s="24">
        <f t="shared" si="25"/>
        <v>1.8604596757802316</v>
      </c>
      <c r="F69" s="26">
        <f t="shared" ca="1" si="42"/>
        <v>1.2565579595673977E-2</v>
      </c>
      <c r="G69" s="27">
        <f t="shared" ca="1" si="26"/>
        <v>320.38961346658556</v>
      </c>
      <c r="H69" s="28">
        <f t="shared" ca="1" si="27"/>
        <v>2762.6159596248881</v>
      </c>
      <c r="I69" s="28">
        <f t="shared" si="28"/>
        <v>8622.6764024390268</v>
      </c>
      <c r="J69" s="120">
        <f t="shared" ca="1" si="29"/>
        <v>4061045.4606485851</v>
      </c>
      <c r="K69" s="120">
        <f t="shared" si="30"/>
        <v>12675334.311585369</v>
      </c>
      <c r="L69" s="29">
        <f t="shared" si="31"/>
        <v>1.2999999999999999E-3</v>
      </c>
      <c r="M69" s="15">
        <f t="shared" si="32"/>
        <v>0.71120000000000005</v>
      </c>
      <c r="N69" s="31">
        <f t="shared" si="33"/>
        <v>9.5299999999999985E-3</v>
      </c>
      <c r="O69" s="32">
        <f t="shared" si="34"/>
        <v>0.69214000000000009</v>
      </c>
      <c r="P69" s="58">
        <f t="shared" si="43"/>
        <v>3.2500000000000011E-5</v>
      </c>
      <c r="Q69" s="30">
        <f t="shared" si="35"/>
        <v>1020253.4744572043</v>
      </c>
      <c r="R69" s="29">
        <f t="shared" si="36"/>
        <v>700</v>
      </c>
      <c r="S69" s="29">
        <f t="shared" si="37"/>
        <v>1030</v>
      </c>
      <c r="T69" s="15">
        <f t="shared" si="38"/>
        <v>0.7</v>
      </c>
      <c r="U69" s="33">
        <f t="shared" ca="1" si="39"/>
        <v>8.9209013583619274</v>
      </c>
      <c r="V69" s="33">
        <f t="shared" ca="1" si="40"/>
        <v>8.9209013583619274</v>
      </c>
      <c r="W69" s="34">
        <f t="shared" ca="1" si="41"/>
        <v>0</v>
      </c>
    </row>
    <row r="70" spans="1:23">
      <c r="A70" s="22">
        <v>23</v>
      </c>
      <c r="B70" s="57">
        <f t="shared" si="22"/>
        <v>3.333333333333334E-2</v>
      </c>
      <c r="C70" s="24">
        <f t="shared" si="23"/>
        <v>692.1400000000001</v>
      </c>
      <c r="D70" s="25">
        <f t="shared" si="24"/>
        <v>9.5299999999999994</v>
      </c>
      <c r="E70" s="24">
        <f t="shared" si="25"/>
        <v>1.8604596757802316</v>
      </c>
      <c r="F70" s="26">
        <f t="shared" ca="1" si="42"/>
        <v>1.2587169392390237E-2</v>
      </c>
      <c r="G70" s="27">
        <f t="shared" ca="1" si="26"/>
        <v>320.94009715673911</v>
      </c>
      <c r="H70" s="28">
        <f t="shared" ca="1" si="27"/>
        <v>2767.3626023499023</v>
      </c>
      <c r="I70" s="28">
        <f t="shared" si="28"/>
        <v>8622.6764024390268</v>
      </c>
      <c r="J70" s="120">
        <f t="shared" ca="1" si="29"/>
        <v>4068023.0254543559</v>
      </c>
      <c r="K70" s="120">
        <f t="shared" si="30"/>
        <v>12675334.311585369</v>
      </c>
      <c r="L70" s="29">
        <f t="shared" si="31"/>
        <v>1.2999999999999999E-3</v>
      </c>
      <c r="M70" s="15">
        <f t="shared" si="32"/>
        <v>0.71120000000000005</v>
      </c>
      <c r="N70" s="31">
        <f t="shared" si="33"/>
        <v>9.5299999999999985E-3</v>
      </c>
      <c r="O70" s="32">
        <f t="shared" si="34"/>
        <v>0.69214000000000009</v>
      </c>
      <c r="P70" s="58">
        <f t="shared" si="43"/>
        <v>3.3333333333333342E-5</v>
      </c>
      <c r="Q70" s="30">
        <f t="shared" si="35"/>
        <v>1020253.4744572043</v>
      </c>
      <c r="R70" s="29">
        <f t="shared" si="36"/>
        <v>700</v>
      </c>
      <c r="S70" s="29">
        <f t="shared" si="37"/>
        <v>1030</v>
      </c>
      <c r="T70" s="15">
        <f t="shared" si="38"/>
        <v>0.7</v>
      </c>
      <c r="U70" s="33">
        <f t="shared" ca="1" si="39"/>
        <v>8.91324740933225</v>
      </c>
      <c r="V70" s="33">
        <f t="shared" ca="1" si="40"/>
        <v>8.91324740933225</v>
      </c>
      <c r="W70" s="34">
        <f t="shared" ca="1" si="41"/>
        <v>0</v>
      </c>
    </row>
    <row r="71" spans="1:23">
      <c r="A71" s="22">
        <v>24</v>
      </c>
      <c r="B71" s="57">
        <f t="shared" si="22"/>
        <v>3.4166666666666672E-2</v>
      </c>
      <c r="C71" s="24">
        <f t="shared" si="23"/>
        <v>692.1400000000001</v>
      </c>
      <c r="D71" s="25">
        <f t="shared" si="24"/>
        <v>9.5299999999999994</v>
      </c>
      <c r="E71" s="24">
        <f t="shared" si="25"/>
        <v>1.8604596757802316</v>
      </c>
      <c r="F71" s="26">
        <f t="shared" ca="1" si="42"/>
        <v>1.2608636384063539E-2</v>
      </c>
      <c r="G71" s="27">
        <f t="shared" ca="1" si="26"/>
        <v>321.48744963754848</v>
      </c>
      <c r="H71" s="28">
        <f t="shared" ca="1" si="27"/>
        <v>2772.0822456699939</v>
      </c>
      <c r="I71" s="28">
        <f t="shared" si="28"/>
        <v>8622.6764024390268</v>
      </c>
      <c r="J71" s="120">
        <f t="shared" ca="1" si="29"/>
        <v>4074960.9011348905</v>
      </c>
      <c r="K71" s="120">
        <f t="shared" si="30"/>
        <v>12675334.311585369</v>
      </c>
      <c r="L71" s="29">
        <f t="shared" si="31"/>
        <v>1.2999999999999999E-3</v>
      </c>
      <c r="M71" s="15">
        <f t="shared" si="32"/>
        <v>0.71120000000000005</v>
      </c>
      <c r="N71" s="31">
        <f t="shared" si="33"/>
        <v>9.5299999999999985E-3</v>
      </c>
      <c r="O71" s="32">
        <f t="shared" si="34"/>
        <v>0.69214000000000009</v>
      </c>
      <c r="P71" s="58">
        <f t="shared" si="43"/>
        <v>3.4166666666666673E-5</v>
      </c>
      <c r="Q71" s="30">
        <f t="shared" si="35"/>
        <v>1020253.4744572043</v>
      </c>
      <c r="R71" s="29">
        <f t="shared" si="36"/>
        <v>700</v>
      </c>
      <c r="S71" s="29">
        <f t="shared" si="37"/>
        <v>1030</v>
      </c>
      <c r="T71" s="15">
        <f t="shared" si="38"/>
        <v>0.7</v>
      </c>
      <c r="U71" s="33">
        <f t="shared" ca="1" si="39"/>
        <v>8.9056564964917051</v>
      </c>
      <c r="V71" s="33">
        <f t="shared" ca="1" si="40"/>
        <v>8.9056564964917069</v>
      </c>
      <c r="W71" s="34">
        <f t="shared" ca="1" si="41"/>
        <v>0</v>
      </c>
    </row>
    <row r="72" spans="1:23">
      <c r="A72" s="43">
        <v>25</v>
      </c>
      <c r="B72" s="59">
        <f t="shared" si="22"/>
        <v>3.5000000000000003E-2</v>
      </c>
      <c r="C72" s="45">
        <f t="shared" si="23"/>
        <v>692.1400000000001</v>
      </c>
      <c r="D72" s="46">
        <f t="shared" si="24"/>
        <v>9.5299999999999994</v>
      </c>
      <c r="E72" s="45">
        <f t="shared" si="25"/>
        <v>1.8604596757802316</v>
      </c>
      <c r="F72" s="26">
        <f t="shared" ca="1" si="42"/>
        <v>1.2629982226632936E-2</v>
      </c>
      <c r="G72" s="48">
        <f t="shared" ca="1" si="26"/>
        <v>322.03171313115456</v>
      </c>
      <c r="H72" s="28">
        <f t="shared" ca="1" si="27"/>
        <v>2776.7752536530202</v>
      </c>
      <c r="I72" s="28">
        <f t="shared" si="28"/>
        <v>8622.6764024390268</v>
      </c>
      <c r="J72" s="121">
        <f t="shared" ca="1" si="29"/>
        <v>4081859.6228699391</v>
      </c>
      <c r="K72" s="121">
        <f t="shared" si="30"/>
        <v>12675334.311585369</v>
      </c>
      <c r="L72" s="29">
        <f t="shared" si="31"/>
        <v>1.2999999999999999E-3</v>
      </c>
      <c r="M72" s="15">
        <f t="shared" si="32"/>
        <v>0.71120000000000005</v>
      </c>
      <c r="N72" s="31">
        <f t="shared" si="33"/>
        <v>9.5299999999999985E-3</v>
      </c>
      <c r="O72" s="52">
        <f t="shared" si="34"/>
        <v>0.69214000000000009</v>
      </c>
      <c r="P72" s="118">
        <f>roughness_fbe_yr_25_mm/1000</f>
        <v>3.5000000000000004E-5</v>
      </c>
      <c r="Q72" s="51">
        <f t="shared" si="35"/>
        <v>1020253.4744572043</v>
      </c>
      <c r="R72" s="49">
        <f t="shared" si="36"/>
        <v>700</v>
      </c>
      <c r="S72" s="29">
        <f t="shared" si="37"/>
        <v>1030</v>
      </c>
      <c r="T72" s="50">
        <f t="shared" si="38"/>
        <v>0.7</v>
      </c>
      <c r="U72" s="33">
        <f t="shared" ca="1" si="39"/>
        <v>8.8981276208679656</v>
      </c>
      <c r="V72" s="33">
        <f t="shared" ca="1" si="40"/>
        <v>8.8981276208679656</v>
      </c>
      <c r="W72" s="34">
        <f t="shared" ca="1" si="41"/>
        <v>0</v>
      </c>
    </row>
    <row r="73" spans="1:23">
      <c r="A73" s="17"/>
      <c r="J73" s="70">
        <f ca="1">NPV(annual_discount_rate,J48:J72)</f>
        <v>35957717.079432316</v>
      </c>
      <c r="K73" s="70">
        <f>NPV(annual_discount_rate,K48:K72)</f>
        <v>115054516.79069601</v>
      </c>
    </row>
    <row r="76" spans="1:23">
      <c r="I76" s="60"/>
    </row>
    <row r="77" spans="1:23">
      <c r="B77" s="17"/>
      <c r="C77" s="17"/>
    </row>
  </sheetData>
  <pageMargins left="0.7" right="0.7" top="0.75" bottom="0.75" header="0.3" footer="0.3"/>
  <pageSetup orientation="portrait" horizontalDpi="0" verticalDpi="0"/>
  <ignoredErrors>
    <ignoredError sqref="O46:O71 O21:O44" formula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17EE-927F-F041-B032-C0FE3D7D286E}">
  <dimension ref="B1:V43"/>
  <sheetViews>
    <sheetView tabSelected="1" topLeftCell="A23" zoomScale="183" zoomScaleNormal="50" workbookViewId="0">
      <selection activeCell="H46" sqref="H46"/>
    </sheetView>
  </sheetViews>
  <sheetFormatPr baseColWidth="10" defaultRowHeight="16"/>
  <cols>
    <col min="1" max="1" width="5.33203125" customWidth="1"/>
    <col min="2" max="2" width="6.5" bestFit="1" customWidth="1"/>
    <col min="3" max="3" width="22.1640625" customWidth="1"/>
    <col min="4" max="4" width="18.33203125" customWidth="1"/>
    <col min="5" max="5" width="15" bestFit="1" customWidth="1"/>
    <col min="6" max="6" width="15.33203125" bestFit="1" customWidth="1"/>
    <col min="7" max="7" width="15.33203125" customWidth="1"/>
    <col min="8" max="8" width="40.83203125" customWidth="1"/>
    <col min="9" max="9" width="4.83203125" customWidth="1"/>
    <col min="10" max="10" width="15.33203125" customWidth="1"/>
    <col min="11" max="11" width="14" bestFit="1" customWidth="1"/>
    <col min="12" max="12" width="14" customWidth="1"/>
    <col min="13" max="13" width="27.83203125" bestFit="1" customWidth="1"/>
    <col min="14" max="14" width="27.6640625" bestFit="1" customWidth="1"/>
    <col min="15" max="15" width="11.5" bestFit="1" customWidth="1"/>
    <col min="16" max="16" width="24.1640625" customWidth="1"/>
    <col min="17" max="17" width="27.6640625" bestFit="1" customWidth="1"/>
    <col min="18" max="18" width="15.1640625" customWidth="1"/>
    <col min="20" max="21" width="14.1640625" bestFit="1" customWidth="1"/>
    <col min="22" max="22" width="11.83203125" bestFit="1" customWidth="1"/>
    <col min="24" max="24" width="17.83203125" bestFit="1" customWidth="1"/>
    <col min="25" max="25" width="11.83203125" bestFit="1" customWidth="1"/>
    <col min="26" max="26" width="11" bestFit="1" customWidth="1"/>
    <col min="27" max="27" width="11.5" bestFit="1" customWidth="1"/>
  </cols>
  <sheetData>
    <row r="1" spans="2:22">
      <c r="B1" s="129"/>
      <c r="C1" s="129"/>
      <c r="D1" s="129"/>
      <c r="E1" s="129"/>
      <c r="F1" s="129"/>
      <c r="G1" s="134"/>
      <c r="H1" t="s">
        <v>273</v>
      </c>
      <c r="M1" t="e">
        <f>"TOTAL [ "&amp;ROUND(#REF!/1000000,1)&amp;" ] CAPEX"</f>
        <v>#REF!</v>
      </c>
      <c r="N1" s="143" t="e">
        <f>"CAPEX [ "&amp;ROUND(#REF!/1000000,1)&amp;" ] "&amp;K2</f>
        <v>#REF!</v>
      </c>
      <c r="O1" t="s">
        <v>255</v>
      </c>
    </row>
    <row r="2" spans="2:22">
      <c r="H2" s="147" t="s">
        <v>271</v>
      </c>
      <c r="K2" s="9" t="s">
        <v>243</v>
      </c>
      <c r="L2" t="s">
        <v>244</v>
      </c>
      <c r="M2" t="e">
        <f>"TOTAL [ "&amp;ROUND(#REF!/1000000,1)&amp;" ] CAPEX"</f>
        <v>#REF!</v>
      </c>
      <c r="N2" s="143" t="e">
        <f>"CAPEX [ "&amp;ROUND(#REF!/1000000,1)&amp;" ] "&amp;#REF!</f>
        <v>#REF!</v>
      </c>
      <c r="O2" t="s">
        <v>250</v>
      </c>
      <c r="Q2" t="e">
        <f>M4</f>
        <v>#REF!</v>
      </c>
      <c r="R2" t="str">
        <f>M11</f>
        <v>Coated [ 8.3 ] CAPEX</v>
      </c>
      <c r="V2" s="134"/>
    </row>
    <row r="3" spans="2:22">
      <c r="H3" s="130" t="str">
        <f>"Field Joint\nCoating [ "&amp;ROUND(E7/1000000,1)&amp;" ] Coated\nCAPEX"</f>
        <v>Field Joint\nCoating [ 8.3 ] Coated\nCAPEX</v>
      </c>
      <c r="I3" s="172"/>
      <c r="J3" s="134">
        <f>IF(I3=H3,1,0)</f>
        <v>0</v>
      </c>
      <c r="M3" s="107" t="s">
        <v>17</v>
      </c>
      <c r="P3" s="137"/>
      <c r="Q3" t="e">
        <f t="shared" ref="Q3:Q6" si="0">M5</f>
        <v>#REF!</v>
      </c>
      <c r="R3" t="str">
        <f t="shared" ref="R3:R5" si="1">M12</f>
        <v>Coated [ 1.3 ] CAPEX</v>
      </c>
      <c r="V3" s="136"/>
    </row>
    <row r="4" spans="2:22">
      <c r="B4" s="219"/>
      <c r="C4" s="219"/>
      <c r="D4" s="220" t="s">
        <v>439</v>
      </c>
      <c r="E4" s="221" t="s">
        <v>162</v>
      </c>
      <c r="F4" s="219"/>
      <c r="H4" t="str">
        <f>"Shop Coating [ "&amp;ROUND(E8/1000000,1)&amp;" ] Coated\nCAPEX"</f>
        <v>Shop Coating [ 1.3 ] Coated\nCAPEX</v>
      </c>
      <c r="J4" s="134">
        <f t="shared" ref="J4:J39" si="2">IF(I4=H4,1,0)</f>
        <v>0</v>
      </c>
      <c r="M4" t="e">
        <f>"Bare [ "&amp;ROUND(extra_steel/1000000,1)&amp;" ] CAPEX"</f>
        <v>#REF!</v>
      </c>
      <c r="N4" s="143" t="e">
        <f>"CAPEX [ "&amp;ROUND(extra_steel/1000000,1)&amp;" ] "&amp;L2</f>
        <v>#REF!</v>
      </c>
      <c r="O4" t="s">
        <v>256</v>
      </c>
      <c r="Q4" t="str">
        <f t="shared" ca="1" si="0"/>
        <v>Bare [ 49 ] OPEX</v>
      </c>
      <c r="R4" t="str">
        <f t="shared" ca="1" si="1"/>
        <v>Coated [ 36 ] OPEX</v>
      </c>
      <c r="V4" s="136"/>
    </row>
    <row r="5" spans="2:22">
      <c r="B5" s="222" t="s">
        <v>429</v>
      </c>
      <c r="C5" s="222" t="s">
        <v>434</v>
      </c>
      <c r="D5" s="222" t="s">
        <v>17</v>
      </c>
      <c r="E5" s="222" t="s">
        <v>221</v>
      </c>
      <c r="F5" s="222" t="s">
        <v>433</v>
      </c>
      <c r="G5" s="134"/>
      <c r="H5" t="str">
        <f ca="1">"Coated\nFriction\nEnergy [ "&amp;ROUND(E10/1000000,1)&amp;" ] Coated\nOPEX"</f>
        <v>Coated\nFriction\nEnergy [ 36 ] Coated\nOPEX</v>
      </c>
      <c r="I5" s="130"/>
      <c r="J5" s="134">
        <f t="shared" ca="1" si="2"/>
        <v>0</v>
      </c>
      <c r="M5" t="e">
        <f>"Bare [ "&amp;ROUND(#REF!/1000000,1)&amp;" ] CAPEX"</f>
        <v>#REF!</v>
      </c>
      <c r="N5" s="143" t="e">
        <f>"CAPEX [ "&amp;ROUND(#REF!/1000000,1)&amp;" ] "&amp;#REF!</f>
        <v>#REF!</v>
      </c>
      <c r="O5" t="s">
        <v>257</v>
      </c>
      <c r="Q5" t="str">
        <f t="shared" si="0"/>
        <v>Bare [ 10.2 ] OPEX</v>
      </c>
      <c r="R5" t="str">
        <f t="shared" si="1"/>
        <v>Coated [ 3.6 ] OPEX</v>
      </c>
      <c r="V5" s="136"/>
    </row>
    <row r="6" spans="2:22">
      <c r="B6" s="223" t="s">
        <v>427</v>
      </c>
      <c r="C6" s="223" t="s">
        <v>435</v>
      </c>
      <c r="D6" s="224">
        <f>capex_steel_bare-capex_steel_fbe</f>
        <v>5869704.9470408764</v>
      </c>
      <c r="E6" s="225">
        <v>0</v>
      </c>
      <c r="F6" s="226">
        <f>_bare_corrosion_steel</f>
        <v>5869704.9470408764</v>
      </c>
      <c r="H6" t="str">
        <f>"Coated\nInspections [ "&amp;ROUND(E11/1000000,1)&amp;" ] Coated\nOPEX"</f>
        <v>Coated\nInspections [ 3.6 ] Coated\nOPEX</v>
      </c>
      <c r="I6" s="130"/>
      <c r="J6" s="134">
        <f t="shared" si="2"/>
        <v>0</v>
      </c>
      <c r="M6" t="str">
        <f ca="1">"Bare [ "&amp;ROUND(D10/1000000,1)&amp;" ] OPEX"</f>
        <v>Bare [ 49 ] OPEX</v>
      </c>
      <c r="N6" s="143" t="str">
        <f ca="1">"OPEX [ "&amp;ROUND(D10/1000000,1)&amp;" ] "&amp;C10</f>
        <v>OPEX [ 49 ] Friction Energy</v>
      </c>
      <c r="O6" t="s">
        <v>253</v>
      </c>
      <c r="Q6" t="str">
        <f t="shared" si="0"/>
        <v>Bare [ 7.3 ] OPEX</v>
      </c>
      <c r="V6" s="136"/>
    </row>
    <row r="7" spans="2:22">
      <c r="B7" s="223" t="s">
        <v>427</v>
      </c>
      <c r="C7" s="223" t="s">
        <v>199</v>
      </c>
      <c r="D7" s="224">
        <v>0</v>
      </c>
      <c r="E7" s="224">
        <f>field_coating_total</f>
        <v>8334000</v>
      </c>
      <c r="F7" s="226">
        <f>-_coated_FJC</f>
        <v>-8334000</v>
      </c>
      <c r="I7" s="130"/>
      <c r="J7" s="134"/>
      <c r="M7" t="str">
        <f>"Bare [ "&amp;ROUND(D9/1000000,1)&amp;" ] OPEX"</f>
        <v>Bare [ 10.2 ] OPEX</v>
      </c>
      <c r="N7" s="143" t="str">
        <f>"OPEX [ "&amp;ROUND(D9/1000000,1)&amp;" ] "&amp;C9</f>
        <v>OPEX [ 10.2 ] Corrosion Inhibitors</v>
      </c>
      <c r="O7" t="s">
        <v>258</v>
      </c>
      <c r="R7" s="143" t="str">
        <f>N11</f>
        <v>CAPEX [ 8.3 ] Field Joint Coating</v>
      </c>
      <c r="V7" s="136"/>
    </row>
    <row r="8" spans="2:22">
      <c r="B8" s="223" t="s">
        <v>427</v>
      </c>
      <c r="C8" s="223" t="s">
        <v>436</v>
      </c>
      <c r="D8" s="224">
        <v>0</v>
      </c>
      <c r="E8" s="224">
        <f>interior_fbe_capex</f>
        <v>1304653.1635533839</v>
      </c>
      <c r="F8" s="226">
        <f>-_coated_SC</f>
        <v>-1304653.1635533839</v>
      </c>
      <c r="H8" t="str">
        <f>"Coated\nCAPEX [ "&amp;ROUND(E7/1000000,1)&amp;" ] Coated\nPipe"</f>
        <v>Coated\nCAPEX [ 8.3 ] Coated\nPipe</v>
      </c>
      <c r="I8" s="135"/>
      <c r="J8" s="134">
        <f t="shared" si="2"/>
        <v>0</v>
      </c>
      <c r="M8" t="str">
        <f>"Bare [ "&amp;ROUND(D11/1000000,1)&amp;" ] OPEX"</f>
        <v>Bare [ 7.3 ] OPEX</v>
      </c>
      <c r="N8" s="143" t="str">
        <f>"OPEX [ "&amp;ROUND(D11/1000000,1)&amp;" ] "&amp;C11</f>
        <v>OPEX [ 7.3 ] Inspections</v>
      </c>
      <c r="O8" t="s">
        <v>254</v>
      </c>
      <c r="Q8" s="143" t="e">
        <f>N4</f>
        <v>#REF!</v>
      </c>
      <c r="R8" s="143" t="str">
        <f t="shared" ref="R8:R10" si="3">N12</f>
        <v>CAPEX [ 1.3 ] Shop-applied Coating</v>
      </c>
      <c r="V8" s="136"/>
    </row>
    <row r="9" spans="2:22">
      <c r="B9" s="223" t="s">
        <v>428</v>
      </c>
      <c r="C9" s="223" t="s">
        <v>437</v>
      </c>
      <c r="D9" s="224">
        <f>pv_inhibitors</f>
        <v>10223564.573747916</v>
      </c>
      <c r="E9" s="224">
        <v>0</v>
      </c>
      <c r="F9" s="226">
        <f>D9</f>
        <v>10223564.573747916</v>
      </c>
      <c r="G9" s="132"/>
      <c r="H9" t="str">
        <f>"Coated\nCAPEX [ "&amp;ROUND(E8/1000000,1)&amp;" ] Coated\nPipe"</f>
        <v>Coated\nCAPEX [ 1.3 ] Coated\nPipe</v>
      </c>
      <c r="I9" s="130"/>
      <c r="J9" s="134">
        <f t="shared" si="2"/>
        <v>0</v>
      </c>
      <c r="Q9" s="143" t="e">
        <f t="shared" ref="Q9:Q12" si="4">N5</f>
        <v>#REF!</v>
      </c>
      <c r="R9" s="143" t="str">
        <f t="shared" ca="1" si="3"/>
        <v>OPEX [ 36 ] Friction Energy</v>
      </c>
      <c r="V9" s="136"/>
    </row>
    <row r="10" spans="2:22">
      <c r="B10" s="223" t="s">
        <v>428</v>
      </c>
      <c r="C10" s="223" t="s">
        <v>242</v>
      </c>
      <c r="D10" s="224">
        <f ca="1">bare_friction_energy_PV</f>
        <v>48965594.081127092</v>
      </c>
      <c r="E10" s="224">
        <f ca="1">fbe_friction_energy_PV</f>
        <v>35957717.079432316</v>
      </c>
      <c r="F10" s="226">
        <f ca="1">Charts!$D10-Charts!$E10</f>
        <v>13007877.001694776</v>
      </c>
      <c r="H10" t="str">
        <f ca="1">"Coated\nOPEX [ "&amp;ROUND(E10/1000000,1)&amp;" ] Coated\nPipe"</f>
        <v>Coated\nOPEX [ 36 ] Coated\nPipe</v>
      </c>
      <c r="I10" s="130"/>
      <c r="J10" s="134">
        <f t="shared" ca="1" si="2"/>
        <v>0</v>
      </c>
      <c r="M10" s="107" t="s">
        <v>221</v>
      </c>
      <c r="Q10" s="143" t="str">
        <f t="shared" ca="1" si="4"/>
        <v>OPEX [ 49 ] Friction Energy</v>
      </c>
      <c r="R10" s="143" t="str">
        <f t="shared" si="3"/>
        <v>OPEX [ 3.6 ] Inspections</v>
      </c>
      <c r="T10" s="155"/>
      <c r="U10" s="155"/>
      <c r="V10" s="156"/>
    </row>
    <row r="11" spans="2:22">
      <c r="B11" s="223" t="s">
        <v>428</v>
      </c>
      <c r="C11" s="223" t="s">
        <v>65</v>
      </c>
      <c r="D11" s="224">
        <f>bare_inspections_PV</f>
        <v>7261632.0145834861</v>
      </c>
      <c r="E11" s="224">
        <f>fbe_inspections_PV</f>
        <v>3630816.0072917431</v>
      </c>
      <c r="F11" s="226">
        <f>D11-E11</f>
        <v>3630816.0072917431</v>
      </c>
      <c r="G11" s="135"/>
      <c r="H11" t="str">
        <f>"Coated\nOPEX [ "&amp;ROUND(E11/1000000,1)&amp;" ] Coated\nPipe"</f>
        <v>Coated\nOPEX [ 3.6 ] Coated\nPipe</v>
      </c>
      <c r="I11" s="158"/>
      <c r="J11" s="134">
        <f t="shared" si="2"/>
        <v>0</v>
      </c>
      <c r="M11" t="str">
        <f>"Coated [ "&amp;ROUND(E7/1000000,1)&amp;" ] CAPEX"</f>
        <v>Coated [ 8.3 ] CAPEX</v>
      </c>
      <c r="N11" s="143" t="str">
        <f>"CAPEX [ "&amp;ROUND(E7/1000000,1)&amp;" ] "&amp;C7</f>
        <v>CAPEX [ 8.3 ] Field Joint Coating</v>
      </c>
      <c r="O11" t="s">
        <v>251</v>
      </c>
      <c r="Q11" s="143" t="str">
        <f t="shared" si="4"/>
        <v>OPEX [ 10.2 ] Corrosion Inhibitors</v>
      </c>
      <c r="R11" s="143"/>
    </row>
    <row r="12" spans="2:22">
      <c r="B12" s="222"/>
      <c r="C12" s="222" t="s">
        <v>430</v>
      </c>
      <c r="D12" s="224">
        <f>SUM(D6:D8)</f>
        <v>5869704.9470408764</v>
      </c>
      <c r="E12" s="224">
        <f>SUM(E6:E8)</f>
        <v>9638653.1635533832</v>
      </c>
      <c r="F12" s="226">
        <f>_bare_CAPEX-_coated_CAPEX</f>
        <v>-3768948.2165125068</v>
      </c>
      <c r="G12" s="130"/>
      <c r="I12" s="155"/>
      <c r="J12" s="134"/>
      <c r="K12" s="9"/>
      <c r="L12" s="9"/>
      <c r="M12" t="str">
        <f>"Coated [ "&amp;ROUND(E8/1000000,1)&amp;" ] CAPEX"</f>
        <v>Coated [ 1.3 ] CAPEX</v>
      </c>
      <c r="N12" s="143" t="str">
        <f>"CAPEX [ "&amp;ROUND(E8/1000000,1)&amp;" ] "&amp;C8</f>
        <v>CAPEX [ 1.3 ] Shop-applied Coating</v>
      </c>
      <c r="O12" t="s">
        <v>252</v>
      </c>
      <c r="Q12" s="143" t="str">
        <f t="shared" si="4"/>
        <v>OPEX [ 7.3 ] Inspections</v>
      </c>
      <c r="R12" s="143" t="str">
        <f>O11</f>
        <v>:Field Joint Coating #0a82b0</v>
      </c>
    </row>
    <row r="13" spans="2:22">
      <c r="B13" s="222"/>
      <c r="C13" s="222" t="s">
        <v>431</v>
      </c>
      <c r="D13" s="224">
        <f ca="1">SUM(D9:D11)</f>
        <v>66450790.669458494</v>
      </c>
      <c r="E13" s="224">
        <f ca="1">SUM(E9:E11)</f>
        <v>39588533.086724058</v>
      </c>
      <c r="F13" s="226">
        <f ca="1">_bare_OPEX-_coated_OPEX</f>
        <v>26862257.582734436</v>
      </c>
      <c r="G13" s="135"/>
      <c r="I13" s="130"/>
      <c r="J13" s="134"/>
      <c r="K13" s="8"/>
      <c r="L13" s="8"/>
      <c r="M13" t="str">
        <f ca="1">"Coated [ "&amp;ROUND(E10/1000000,1)&amp;" ] OPEX"</f>
        <v>Coated [ 36 ] OPEX</v>
      </c>
      <c r="N13" s="143" t="str">
        <f ca="1">"OPEX [ "&amp;ROUND(E10/1000000,1)&amp;" ] "&amp;C10</f>
        <v>OPEX [ 36 ] Friction Energy</v>
      </c>
      <c r="O13" t="s">
        <v>253</v>
      </c>
      <c r="Q13" s="143"/>
      <c r="R13" s="143" t="str">
        <f t="shared" ref="R13:R15" si="5">O12</f>
        <v>:Shop Coating #0a82b0</v>
      </c>
    </row>
    <row r="14" spans="2:22">
      <c r="B14" s="223"/>
      <c r="C14" s="222" t="s">
        <v>432</v>
      </c>
      <c r="D14" s="227">
        <f ca="1">D13+D12</f>
        <v>72320495.616499364</v>
      </c>
      <c r="E14" s="227">
        <f ca="1">E13+E12</f>
        <v>49227186.250277445</v>
      </c>
      <c r="F14" s="227">
        <f ca="1">bare_total_usd-fbe_total_usd</f>
        <v>23093309.36622192</v>
      </c>
      <c r="G14" s="171"/>
      <c r="H14" t="str">
        <f ca="1">"Coated\nPipe [ "&amp;ROUND(E14/1000000,1)&amp;" ] Bare\nPipe"</f>
        <v>Coated\nPipe [ 49.2 ] Bare\nPipe</v>
      </c>
      <c r="I14" s="132"/>
      <c r="J14" s="134">
        <f t="shared" ca="1" si="2"/>
        <v>0</v>
      </c>
      <c r="K14" s="9"/>
      <c r="L14" s="9"/>
      <c r="M14" t="str">
        <f>"Coated [ "&amp;ROUND(E11/1000000,1)&amp;" ] OPEX"</f>
        <v>Coated [ 3.6 ] OPEX</v>
      </c>
      <c r="N14" s="143" t="str">
        <f>"OPEX [ "&amp;ROUND(E11/1000000,1)&amp;" ] "&amp;C11</f>
        <v>OPEX [ 3.6 ] Inspections</v>
      </c>
      <c r="O14" t="s">
        <v>254</v>
      </c>
      <c r="Q14" s="143" t="str">
        <f>O4</f>
        <v>:Steel corrosion #0a82b0</v>
      </c>
      <c r="R14" s="143" t="str">
        <f t="shared" si="5"/>
        <v>:Friction Energy #74b4dd</v>
      </c>
    </row>
    <row r="15" spans="2:22">
      <c r="B15" s="216"/>
      <c r="C15" s="217"/>
      <c r="D15" s="217"/>
      <c r="E15" s="217"/>
      <c r="F15" s="218"/>
      <c r="G15" s="130"/>
      <c r="H15" t="str">
        <f ca="1">"Savings [ "&amp;ROUND(F14/1000000,1)&amp;" ] Bare\nPipe"</f>
        <v>Savings [ 23.1 ] Bare\nPipe</v>
      </c>
      <c r="I15" s="132"/>
      <c r="J15" s="134">
        <f t="shared" ca="1" si="2"/>
        <v>0</v>
      </c>
      <c r="K15" s="9"/>
      <c r="L15" s="9"/>
      <c r="N15" s="143"/>
      <c r="Q15" s="143" t="str">
        <f>O5</f>
        <v>:Dosing Plant #0a82b0</v>
      </c>
      <c r="R15" s="143" t="str">
        <f t="shared" si="5"/>
        <v>:Inspections #74b4dd</v>
      </c>
    </row>
    <row r="16" spans="2:22">
      <c r="B16" s="134"/>
      <c r="C16" s="134" t="s">
        <v>66</v>
      </c>
      <c r="D16" s="134" t="s">
        <v>63</v>
      </c>
      <c r="E16" s="134" t="s">
        <v>215</v>
      </c>
      <c r="F16" s="134" t="s">
        <v>16</v>
      </c>
      <c r="G16" s="158"/>
      <c r="I16" s="131"/>
      <c r="J16" s="134"/>
      <c r="K16" s="9"/>
      <c r="L16" s="9"/>
      <c r="N16" s="143"/>
      <c r="Q16" s="143" t="str">
        <f>O6</f>
        <v>:Friction Energy #74b4dd</v>
      </c>
      <c r="R16" s="143"/>
    </row>
    <row r="17" spans="2:17">
      <c r="B17" s="214"/>
      <c r="C17" s="131" t="s">
        <v>213</v>
      </c>
      <c r="D17" s="135">
        <f>pv_inhibitors</f>
        <v>10223564.573747916</v>
      </c>
      <c r="E17" s="135"/>
      <c r="F17" s="136">
        <v>1</v>
      </c>
      <c r="G17" s="155"/>
      <c r="H17" t="str">
        <f>"Bare\nPipe [ "&amp;ROUND(D6/1000000,1)&amp;" ] Bare\nCAPEX"</f>
        <v>Bare\nPipe [ 5.9 ] Bare\nCAPEX</v>
      </c>
      <c r="I17" s="133"/>
      <c r="J17" s="134">
        <f t="shared" si="2"/>
        <v>0</v>
      </c>
      <c r="K17" s="9"/>
      <c r="L17" s="9"/>
      <c r="M17" s="12">
        <f>(E7/1000000)</f>
        <v>8.3339999999999996</v>
      </c>
      <c r="N17" s="143"/>
      <c r="Q17" s="143" t="str">
        <f>O7</f>
        <v>:Inhibitors #74b4dd</v>
      </c>
    </row>
    <row r="18" spans="2:17">
      <c r="C18" s="131" t="s">
        <v>123</v>
      </c>
      <c r="D18" s="135">
        <f ca="1">extra_friction_energy</f>
        <v>13007877.001694776</v>
      </c>
      <c r="E18" s="135"/>
      <c r="F18" s="136">
        <f ca="1">1-E10/D10</f>
        <v>0.26565340921102865</v>
      </c>
      <c r="G18" s="10"/>
      <c r="H18" t="str">
        <f>"Bare\nPipe [ "&amp;ROUND(D9/1000000,1)&amp;" ] Bare\nOPEX"</f>
        <v>Bare\nPipe [ 10.2 ] Bare\nOPEX</v>
      </c>
      <c r="I18" s="130"/>
      <c r="J18" s="134">
        <f t="shared" si="2"/>
        <v>0</v>
      </c>
      <c r="K18" s="143"/>
      <c r="L18" s="143"/>
      <c r="M18" s="12">
        <f>E8/1000000</f>
        <v>1.304653163553384</v>
      </c>
      <c r="Q18" s="143" t="str">
        <f>O8</f>
        <v>:Inspections #74b4dd</v>
      </c>
    </row>
    <row r="19" spans="2:17">
      <c r="C19" s="131" t="s">
        <v>19</v>
      </c>
      <c r="D19" s="135">
        <f>_bare_corrosion_steel</f>
        <v>5869704.9470408764</v>
      </c>
      <c r="E19" s="135"/>
      <c r="F19" s="136"/>
      <c r="H19" t="str">
        <f ca="1">"Bare\nPipe [ "&amp;ROUND(D10/1000000,1)&amp;" ] Bare\nOPEX"</f>
        <v>Bare\nPipe [ 49 ] Bare\nOPEX</v>
      </c>
      <c r="I19" s="130"/>
      <c r="J19" s="134">
        <f t="shared" ca="1" si="2"/>
        <v>0</v>
      </c>
      <c r="K19" s="102"/>
      <c r="L19" s="102"/>
      <c r="M19" s="12">
        <f>SUM(M17:M18)</f>
        <v>9.6386531635533839</v>
      </c>
      <c r="N19" s="142"/>
      <c r="O19" s="142"/>
    </row>
    <row r="20" spans="2:17">
      <c r="C20" s="131" t="s">
        <v>214</v>
      </c>
      <c r="D20" s="135"/>
      <c r="E20" s="135">
        <f>field_coating_total</f>
        <v>8334000</v>
      </c>
      <c r="F20" s="136">
        <v>1</v>
      </c>
      <c r="H20" t="str">
        <f>"Bare\nPipe [ "&amp;ROUND(D11/1000000,1)&amp;" ] Bare\nOPEX"</f>
        <v>Bare\nPipe [ 7.3 ] Bare\nOPEX</v>
      </c>
      <c r="J20" s="134">
        <f t="shared" si="2"/>
        <v>0</v>
      </c>
      <c r="K20" s="102"/>
      <c r="L20" s="102"/>
      <c r="N20" s="142"/>
      <c r="O20" s="142"/>
      <c r="Q20" s="143"/>
    </row>
    <row r="21" spans="2:17">
      <c r="C21" s="131" t="s">
        <v>116</v>
      </c>
      <c r="D21" s="135">
        <f>extra_inspections</f>
        <v>3630816.0072917431</v>
      </c>
      <c r="E21" s="135"/>
      <c r="F21" s="136">
        <f>1-E11/D11</f>
        <v>0.5</v>
      </c>
      <c r="J21" s="134"/>
      <c r="K21" s="144"/>
      <c r="L21" s="144"/>
      <c r="M21" s="12">
        <f ca="1">E10/1000000</f>
        <v>35.957717079432314</v>
      </c>
      <c r="N21" s="142"/>
      <c r="O21" s="142"/>
      <c r="Q21" s="143"/>
    </row>
    <row r="22" spans="2:17">
      <c r="C22" s="131" t="s">
        <v>212</v>
      </c>
      <c r="D22" s="135"/>
      <c r="E22" s="135">
        <f>interior_fbe_capex</f>
        <v>1304653.1635533839</v>
      </c>
      <c r="F22" s="136">
        <v>1</v>
      </c>
      <c r="K22" s="144"/>
      <c r="L22" s="144"/>
      <c r="M22" s="12">
        <f>E11/1000000</f>
        <v>3.630816007291743</v>
      </c>
      <c r="N22" s="142"/>
      <c r="Q22" s="143"/>
    </row>
    <row r="23" spans="2:17">
      <c r="C23" s="131"/>
      <c r="D23" s="135"/>
      <c r="E23" s="135"/>
      <c r="F23" s="136"/>
      <c r="H23" t="str">
        <f>"Bare\nCAPEX [ "&amp;ROUND(D6/1000000,1)&amp;" ] Corrosion\nExtra Steel"</f>
        <v>Bare\nCAPEX [ 5.9 ] Corrosion\nExtra Steel</v>
      </c>
      <c r="J23" s="134">
        <f t="shared" si="2"/>
        <v>0</v>
      </c>
      <c r="K23" s="142"/>
      <c r="L23" s="142"/>
      <c r="M23" s="12">
        <f ca="1">SUM(M21:M22)</f>
        <v>39.588533086724055</v>
      </c>
      <c r="N23" s="142">
        <f ca="1">M23+M19</f>
        <v>49.227186250277441</v>
      </c>
      <c r="O23" s="142"/>
    </row>
    <row r="24" spans="2:17">
      <c r="C24" s="137" t="s">
        <v>21</v>
      </c>
      <c r="D24" s="138">
        <f ca="1">SUBTOTAL(109,Charts!$D$17:$D$23)</f>
        <v>32731962.529775314</v>
      </c>
      <c r="E24" s="138">
        <f>SUBTOTAL(109,Charts!$E$17:$E$23)</f>
        <v>9638653.1635533832</v>
      </c>
      <c r="F24" s="139">
        <f ca="1">Charts!$D$24-Charts!$E$24</f>
        <v>23093309.366221931</v>
      </c>
      <c r="H24" t="str">
        <f ca="1">"Bare\nOPEX [ "&amp;ROUND(D10/1000000,1)&amp;" ] Bare\nFriction\nEnergy"</f>
        <v>Bare\nOPEX [ 49 ] Bare\nFriction\nEnergy</v>
      </c>
      <c r="J24" s="134">
        <f t="shared" ca="1" si="2"/>
        <v>0</v>
      </c>
      <c r="K24" s="142"/>
      <c r="L24" s="142"/>
    </row>
    <row r="25" spans="2:17">
      <c r="B25" s="131"/>
      <c r="D25" s="12"/>
      <c r="E25">
        <f ca="1">diff_total_fbe_usd/diff_total_diff</f>
        <v>0.41737860133860355</v>
      </c>
      <c r="F25" s="111"/>
      <c r="G25" s="131"/>
      <c r="H25" t="str">
        <f>"Bare\nOPEX [ "&amp;ROUND(D9/1000000,1)&amp;" ] Inhibitors"</f>
        <v>Bare\nOPEX [ 10.2 ] Inhibitors</v>
      </c>
      <c r="J25" s="134">
        <f t="shared" si="2"/>
        <v>0</v>
      </c>
      <c r="K25" s="11"/>
      <c r="L25" s="11"/>
      <c r="M25" s="143"/>
    </row>
    <row r="26" spans="2:17">
      <c r="B26" s="131"/>
      <c r="G26" s="133"/>
      <c r="H26" t="str">
        <f>"Bare\nOPEX [ "&amp;ROUND(D11/1000000,1)&amp;" ] Bare\nInspections"</f>
        <v>Bare\nOPEX [ 7.3 ] Bare\nInspections</v>
      </c>
      <c r="J26" s="134">
        <f t="shared" si="2"/>
        <v>0</v>
      </c>
      <c r="K26" s="11"/>
      <c r="L26" s="11"/>
      <c r="M26" s="143"/>
    </row>
    <row r="27" spans="2:17">
      <c r="B27" s="215"/>
      <c r="C27" s="134" t="s">
        <v>66</v>
      </c>
      <c r="D27" s="134" t="s">
        <v>17</v>
      </c>
      <c r="E27" s="134" t="s">
        <v>221</v>
      </c>
      <c r="G27" s="135"/>
      <c r="K27" s="11"/>
      <c r="L27" s="11"/>
    </row>
    <row r="28" spans="2:17">
      <c r="B28" s="131"/>
      <c r="C28" s="131" t="s">
        <v>213</v>
      </c>
      <c r="D28" s="154">
        <f>pv_inhibitors/1000000</f>
        <v>10.223564573747916</v>
      </c>
      <c r="E28" s="154"/>
      <c r="G28" s="130"/>
      <c r="H28" t="s">
        <v>260</v>
      </c>
      <c r="J28" s="134">
        <f t="shared" si="2"/>
        <v>0</v>
      </c>
      <c r="K28" s="11"/>
      <c r="L28" s="11"/>
      <c r="M28" s="143"/>
    </row>
    <row r="29" spans="2:17">
      <c r="B29" s="131"/>
      <c r="C29" s="131" t="s">
        <v>123</v>
      </c>
      <c r="D29" s="154">
        <f ca="1">extra_friction_energy/1000000</f>
        <v>13.007877001694776</v>
      </c>
      <c r="E29" s="154"/>
      <c r="G29" s="130"/>
      <c r="H29" t="s">
        <v>261</v>
      </c>
      <c r="J29" s="134">
        <f t="shared" si="2"/>
        <v>0</v>
      </c>
      <c r="K29" s="11"/>
      <c r="L29" s="11"/>
      <c r="M29" s="143"/>
    </row>
    <row r="30" spans="2:17">
      <c r="C30" s="131" t="s">
        <v>19</v>
      </c>
      <c r="D30" s="154">
        <f>_bare_corrosion_steel/1000000</f>
        <v>5.8697049470408764</v>
      </c>
      <c r="E30" s="154"/>
      <c r="H30" t="s">
        <v>262</v>
      </c>
      <c r="J30" s="134">
        <f t="shared" si="2"/>
        <v>0</v>
      </c>
      <c r="K30" s="11"/>
      <c r="L30" s="11"/>
      <c r="M30" s="143"/>
    </row>
    <row r="31" spans="2:17">
      <c r="C31" s="131" t="s">
        <v>214</v>
      </c>
      <c r="D31" s="154"/>
      <c r="E31" s="154">
        <f>field_coating_total/1000000</f>
        <v>8.3339999999999996</v>
      </c>
      <c r="H31" t="s">
        <v>263</v>
      </c>
      <c r="J31" s="134">
        <f t="shared" si="2"/>
        <v>0</v>
      </c>
      <c r="K31" s="12"/>
      <c r="L31" s="12"/>
      <c r="M31" s="143"/>
    </row>
    <row r="32" spans="2:17">
      <c r="C32" s="131" t="s">
        <v>116</v>
      </c>
      <c r="D32" s="154">
        <f>extra_inspections/1000000</f>
        <v>3.630816007291743</v>
      </c>
      <c r="E32" s="154"/>
      <c r="H32" t="s">
        <v>264</v>
      </c>
      <c r="J32" s="134">
        <f t="shared" si="2"/>
        <v>0</v>
      </c>
      <c r="M32" s="143"/>
    </row>
    <row r="33" spans="3:17">
      <c r="C33" s="131" t="s">
        <v>212</v>
      </c>
      <c r="D33" s="154"/>
      <c r="E33" s="154">
        <f>interior_fbe_capex/1000000</f>
        <v>1.304653163553384</v>
      </c>
      <c r="H33" t="s">
        <v>265</v>
      </c>
      <c r="J33" s="134">
        <f t="shared" si="2"/>
        <v>0</v>
      </c>
      <c r="K33" s="8"/>
      <c r="L33" s="8"/>
      <c r="M33" s="143"/>
    </row>
    <row r="34" spans="3:17">
      <c r="C34" s="131"/>
      <c r="D34" s="154"/>
      <c r="E34" s="154"/>
      <c r="H34" t="s">
        <v>266</v>
      </c>
      <c r="J34" s="134">
        <f t="shared" si="2"/>
        <v>0</v>
      </c>
      <c r="M34" s="143"/>
    </row>
    <row r="35" spans="3:17">
      <c r="D35" s="8"/>
      <c r="E35" s="143"/>
      <c r="H35" t="s">
        <v>272</v>
      </c>
      <c r="J35" s="134">
        <f t="shared" si="2"/>
        <v>0</v>
      </c>
      <c r="M35" s="143"/>
    </row>
    <row r="36" spans="3:17">
      <c r="H36" t="s">
        <v>267</v>
      </c>
      <c r="J36" s="134">
        <f t="shared" si="2"/>
        <v>0</v>
      </c>
    </row>
    <row r="37" spans="3:17">
      <c r="H37" t="s">
        <v>268</v>
      </c>
      <c r="J37" s="134">
        <f t="shared" si="2"/>
        <v>0</v>
      </c>
    </row>
    <row r="38" spans="3:17">
      <c r="H38" t="s">
        <v>269</v>
      </c>
      <c r="J38" s="134">
        <f t="shared" si="2"/>
        <v>0</v>
      </c>
    </row>
    <row r="39" spans="3:17">
      <c r="H39" t="s">
        <v>270</v>
      </c>
      <c r="J39" s="134">
        <f t="shared" si="2"/>
        <v>0</v>
      </c>
      <c r="P39" s="142"/>
      <c r="Q39" s="142"/>
    </row>
    <row r="40" spans="3:17">
      <c r="J40" s="134"/>
      <c r="P40" s="142"/>
    </row>
    <row r="41" spans="3:17">
      <c r="P41" s="142"/>
    </row>
    <row r="43" spans="3:17">
      <c r="P43" s="142"/>
    </row>
  </sheetData>
  <hyperlinks>
    <hyperlink ref="H2" r:id="rId1" xr:uid="{43A96D6C-CFA8-DE4B-9662-369845B3D89B}"/>
  </hyperlinks>
  <pageMargins left="0.7" right="0.7" top="0.75" bottom="0.75" header="0.3" footer="0.3"/>
  <pageSetup orientation="portrait" horizontalDpi="0" verticalDpi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13F0-113D-E347-9D20-72E2B93074F7}">
  <dimension ref="B3:H27"/>
  <sheetViews>
    <sheetView topLeftCell="A3" zoomScale="150" zoomScaleNormal="150" workbookViewId="0">
      <selection activeCell="D21" sqref="D21"/>
    </sheetView>
  </sheetViews>
  <sheetFormatPr baseColWidth="10" defaultRowHeight="16"/>
  <cols>
    <col min="1" max="1" width="10.83203125" style="1"/>
    <col min="2" max="2" width="31" style="1" bestFit="1" customWidth="1"/>
    <col min="3" max="4" width="13.5" style="1" customWidth="1"/>
    <col min="5" max="5" width="14.33203125" style="1" customWidth="1"/>
    <col min="6" max="6" width="36.6640625" style="1" bestFit="1" customWidth="1"/>
    <col min="7" max="16384" width="10.83203125" style="1"/>
  </cols>
  <sheetData>
    <row r="3" spans="2:8" ht="53" customHeight="1">
      <c r="B3" s="3" t="s">
        <v>49</v>
      </c>
      <c r="C3" s="3" t="s">
        <v>57</v>
      </c>
      <c r="D3" s="3" t="s">
        <v>47</v>
      </c>
      <c r="E3" s="3"/>
      <c r="F3" s="2" t="s">
        <v>46</v>
      </c>
      <c r="G3" s="2" t="s">
        <v>56</v>
      </c>
    </row>
    <row r="4" spans="2:8" ht="17">
      <c r="B4" s="3" t="s">
        <v>55</v>
      </c>
      <c r="C4" s="7">
        <f t="shared" ref="C4:C9" si="0">G4*0.145038</f>
        <v>1180.1742059999999</v>
      </c>
      <c r="D4" s="3">
        <v>0.47</v>
      </c>
      <c r="E4" s="2"/>
      <c r="F4" s="2">
        <v>1043.5</v>
      </c>
      <c r="G4" s="2">
        <v>8137</v>
      </c>
    </row>
    <row r="5" spans="2:8" ht="17">
      <c r="B5" s="3" t="s">
        <v>54</v>
      </c>
      <c r="C5" s="7">
        <f t="shared" si="0"/>
        <v>1132.3116660000001</v>
      </c>
      <c r="D5" s="3">
        <v>15.9</v>
      </c>
      <c r="E5" s="2"/>
      <c r="F5" s="2">
        <v>1031.4000000000001</v>
      </c>
      <c r="G5" s="2">
        <v>7807</v>
      </c>
    </row>
    <row r="6" spans="2:8" ht="17">
      <c r="B6" s="3" t="s">
        <v>53</v>
      </c>
      <c r="C6" s="7">
        <f t="shared" si="0"/>
        <v>1314.479394</v>
      </c>
      <c r="D6" s="3">
        <v>26</v>
      </c>
      <c r="E6" s="2"/>
      <c r="F6" s="2">
        <v>876.8</v>
      </c>
      <c r="G6" s="2">
        <v>9063</v>
      </c>
    </row>
    <row r="7" spans="2:8" ht="17">
      <c r="B7" s="3" t="s">
        <v>52</v>
      </c>
      <c r="C7" s="7">
        <f t="shared" si="0"/>
        <v>1674.8988240000001</v>
      </c>
      <c r="D7" s="3">
        <v>12.7</v>
      </c>
      <c r="E7" s="2"/>
      <c r="F7" s="2">
        <v>666.5</v>
      </c>
      <c r="G7" s="2">
        <v>11548</v>
      </c>
    </row>
    <row r="8" spans="2:8" ht="17">
      <c r="B8" s="3" t="s">
        <v>51</v>
      </c>
      <c r="C8" s="7">
        <f t="shared" si="0"/>
        <v>1183.800156</v>
      </c>
      <c r="D8" s="3">
        <v>40.799999999999997</v>
      </c>
      <c r="E8" s="2"/>
      <c r="F8" s="2">
        <v>923.7</v>
      </c>
      <c r="G8" s="2">
        <v>8162</v>
      </c>
    </row>
    <row r="9" spans="2:8" ht="17">
      <c r="B9" s="3" t="s">
        <v>50</v>
      </c>
      <c r="C9" s="7">
        <f t="shared" si="0"/>
        <v>1163.4948360000001</v>
      </c>
      <c r="D9" s="3">
        <v>42.1</v>
      </c>
      <c r="E9" s="2"/>
      <c r="F9" s="2">
        <v>933.9</v>
      </c>
      <c r="G9" s="2">
        <v>8022</v>
      </c>
    </row>
    <row r="10" spans="2:8">
      <c r="B10" s="6"/>
      <c r="C10" s="6"/>
      <c r="D10" s="6"/>
    </row>
    <row r="11" spans="2:8" ht="54" customHeight="1">
      <c r="B11" s="3" t="s">
        <v>49</v>
      </c>
      <c r="C11" s="6" t="s">
        <v>48</v>
      </c>
      <c r="D11" s="3" t="s">
        <v>47</v>
      </c>
      <c r="E11" s="3"/>
      <c r="F11" s="2" t="s">
        <v>46</v>
      </c>
      <c r="G11" s="2" t="s">
        <v>45</v>
      </c>
      <c r="H11" s="2" t="s">
        <v>44</v>
      </c>
    </row>
    <row r="12" spans="2:8" ht="17">
      <c r="B12" s="3" t="s">
        <v>43</v>
      </c>
      <c r="C12" s="7">
        <f>H12*0.145038</f>
        <v>1444.8685559999999</v>
      </c>
      <c r="D12" s="3">
        <v>0</v>
      </c>
      <c r="E12" s="2"/>
      <c r="F12" s="2">
        <v>1020.5</v>
      </c>
      <c r="G12" s="2">
        <v>23000</v>
      </c>
      <c r="H12" s="2">
        <v>9962</v>
      </c>
    </row>
    <row r="13" spans="2:8" ht="17">
      <c r="B13" s="3" t="s">
        <v>42</v>
      </c>
      <c r="C13" s="7">
        <f>H13*0.145038</f>
        <v>1307.807646</v>
      </c>
      <c r="D13" s="3">
        <v>0</v>
      </c>
      <c r="E13" s="2"/>
      <c r="F13" s="2">
        <v>1020.5</v>
      </c>
      <c r="G13" s="2">
        <v>9000</v>
      </c>
      <c r="H13" s="2">
        <v>9017</v>
      </c>
    </row>
    <row r="14" spans="2:8" ht="17">
      <c r="B14" s="3" t="s">
        <v>41</v>
      </c>
      <c r="C14" s="7">
        <f>H14*0.145038</f>
        <v>1444.8685559999999</v>
      </c>
      <c r="D14" s="3">
        <v>0.5</v>
      </c>
      <c r="E14" s="2"/>
      <c r="F14" s="2">
        <v>1043.5</v>
      </c>
      <c r="G14" s="2">
        <v>23000</v>
      </c>
      <c r="H14" s="2">
        <v>9962</v>
      </c>
    </row>
    <row r="15" spans="2:8" ht="17">
      <c r="B15" s="3" t="s">
        <v>40</v>
      </c>
      <c r="C15" s="7">
        <f>H15*0.145038</f>
        <v>1384.38771</v>
      </c>
      <c r="D15" s="3">
        <v>15.9</v>
      </c>
      <c r="E15" s="2"/>
      <c r="F15" s="2">
        <v>1031.4000000000001</v>
      </c>
      <c r="G15" s="2">
        <v>23000</v>
      </c>
      <c r="H15" s="2">
        <v>9545</v>
      </c>
    </row>
    <row r="16" spans="2:8" ht="17">
      <c r="B16" s="3" t="s">
        <v>39</v>
      </c>
      <c r="C16" s="7">
        <f>H16*0.145038</f>
        <v>1592.082126</v>
      </c>
      <c r="D16" s="3">
        <v>26</v>
      </c>
      <c r="E16" s="2"/>
      <c r="F16" s="2">
        <v>876.5</v>
      </c>
      <c r="G16" s="2">
        <v>20000</v>
      </c>
      <c r="H16" s="2">
        <v>10977</v>
      </c>
    </row>
    <row r="17" spans="2:5">
      <c r="B17" s="6"/>
      <c r="C17" s="6"/>
      <c r="D17" s="6"/>
    </row>
    <row r="18" spans="2:5" ht="17">
      <c r="B18" s="3" t="s">
        <v>38</v>
      </c>
      <c r="C18" s="3" t="s">
        <v>37</v>
      </c>
      <c r="D18" s="3" t="s">
        <v>36</v>
      </c>
      <c r="E18" s="3"/>
    </row>
    <row r="19" spans="2:5" ht="17">
      <c r="B19" s="3" t="s">
        <v>35</v>
      </c>
      <c r="C19" s="3" t="s">
        <v>34</v>
      </c>
      <c r="D19" s="5">
        <v>45590</v>
      </c>
      <c r="E19" s="4"/>
    </row>
    <row r="20" spans="2:5" ht="17">
      <c r="B20" s="3" t="s">
        <v>33</v>
      </c>
      <c r="C20" s="3" t="s">
        <v>7</v>
      </c>
      <c r="D20" s="3">
        <v>1000</v>
      </c>
      <c r="E20" s="2"/>
    </row>
    <row r="21" spans="2:5" ht="17">
      <c r="B21" s="3" t="s">
        <v>32</v>
      </c>
      <c r="C21" s="3" t="s">
        <v>9</v>
      </c>
      <c r="D21" s="3">
        <v>1.3</v>
      </c>
      <c r="E21" s="2"/>
    </row>
    <row r="22" spans="2:5" ht="17">
      <c r="B22" s="3" t="s">
        <v>31</v>
      </c>
      <c r="C22" s="3" t="s">
        <v>6</v>
      </c>
      <c r="D22" s="3">
        <v>2268</v>
      </c>
      <c r="E22" s="2"/>
    </row>
    <row r="23" spans="2:5" ht="17">
      <c r="B23" s="3" t="s">
        <v>69</v>
      </c>
      <c r="C23" s="3" t="s">
        <v>26</v>
      </c>
      <c r="D23" s="3">
        <v>1.5840000000000001</v>
      </c>
    </row>
    <row r="24" spans="2:5" ht="17">
      <c r="B24" s="3" t="s">
        <v>30</v>
      </c>
      <c r="C24" s="3" t="s">
        <v>6</v>
      </c>
      <c r="D24" s="3">
        <v>720</v>
      </c>
      <c r="E24" s="2"/>
    </row>
    <row r="25" spans="2:5" ht="34">
      <c r="B25" s="3" t="s">
        <v>29</v>
      </c>
      <c r="C25" s="3" t="s">
        <v>10</v>
      </c>
      <c r="D25" s="3">
        <v>2.3E-2</v>
      </c>
      <c r="E25" s="2"/>
    </row>
    <row r="26" spans="2:5" ht="51">
      <c r="B26" s="3" t="s">
        <v>28</v>
      </c>
      <c r="C26" s="3" t="s">
        <v>26</v>
      </c>
      <c r="D26" s="3">
        <v>3</v>
      </c>
      <c r="E26" s="2"/>
    </row>
    <row r="27" spans="2:5" ht="51">
      <c r="B27" s="3" t="s">
        <v>27</v>
      </c>
      <c r="C27" s="3" t="s">
        <v>26</v>
      </c>
      <c r="D27" s="3">
        <v>8</v>
      </c>
      <c r="E27" s="2"/>
    </row>
  </sheetData>
  <pageMargins left="0.7" right="0.7" top="0.75" bottom="0.75" header="0.3" footer="0.3"/>
  <pageSetup orientation="portrait" horizontalDpi="0" verticalDpi="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144</vt:i4>
      </vt:variant>
    </vt:vector>
  </HeadingPairs>
  <TitlesOfParts>
    <vt:vector size="154" baseType="lpstr">
      <vt:lpstr>Parameters</vt:lpstr>
      <vt:lpstr>Steel</vt:lpstr>
      <vt:lpstr>SC</vt:lpstr>
      <vt:lpstr>FJC</vt:lpstr>
      <vt:lpstr>Inhibitors</vt:lpstr>
      <vt:lpstr>Inspections</vt:lpstr>
      <vt:lpstr>Electricity</vt:lpstr>
      <vt:lpstr>Charts</vt:lpstr>
      <vt:lpstr>SRAII AMSA</vt:lpstr>
      <vt:lpstr>Chilean_Projects</vt:lpstr>
      <vt:lpstr>_bare_CAPEX</vt:lpstr>
      <vt:lpstr>_bare_corrosion_steel</vt:lpstr>
      <vt:lpstr>_bare_friction</vt:lpstr>
      <vt:lpstr>_bare_inhibitores</vt:lpstr>
      <vt:lpstr>_bare_inspections</vt:lpstr>
      <vt:lpstr>_bare_OPEX</vt:lpstr>
      <vt:lpstr>_coated_CAPEX</vt:lpstr>
      <vt:lpstr>_coated_FJC</vt:lpstr>
      <vt:lpstr>_coated_Friction</vt:lpstr>
      <vt:lpstr>_coated_inspections</vt:lpstr>
      <vt:lpstr>_coated_OPEX</vt:lpstr>
      <vt:lpstr>_coated_SC</vt:lpstr>
      <vt:lpstr>_diff_inhibitors</vt:lpstr>
      <vt:lpstr>annual_discount_rate</vt:lpstr>
      <vt:lpstr>annual_discount_rate_percent</vt:lpstr>
      <vt:lpstr>annual_hours_operation_h_yr</vt:lpstr>
      <vt:lpstr>Bare_annual_Inspection</vt:lpstr>
      <vt:lpstr>Bare_annual_Inspection_usd</vt:lpstr>
      <vt:lpstr>bare_cost_electricity_yr_1</vt:lpstr>
      <vt:lpstr>bare_electricity_yr_1</vt:lpstr>
      <vt:lpstr>bare_elevation_energy_PV</vt:lpstr>
      <vt:lpstr>bare_f_yr_1</vt:lpstr>
      <vt:lpstr>bare_friction_energy_PV</vt:lpstr>
      <vt:lpstr>bare_hf_yr1_m</vt:lpstr>
      <vt:lpstr>bare_inside_diameter_yr_1</vt:lpstr>
      <vt:lpstr>bare_inspection_per_km</vt:lpstr>
      <vt:lpstr>bare_inspections_PV</vt:lpstr>
      <vt:lpstr>bare_re_yr_1</vt:lpstr>
      <vt:lpstr>bare_roughness_yr_1</vt:lpstr>
      <vt:lpstr>bare_steel_percentage</vt:lpstr>
      <vt:lpstr>bare_steel_weight_t</vt:lpstr>
      <vt:lpstr>bare_total_usd</vt:lpstr>
      <vt:lpstr>bare_vel_yr_1_m_s</vt:lpstr>
      <vt:lpstr>bare_wall__yr_1_mm</vt:lpstr>
      <vt:lpstr>biocide_cost_yr</vt:lpstr>
      <vt:lpstr>biocide_dosage</vt:lpstr>
      <vt:lpstr>biocide_kg_yr</vt:lpstr>
      <vt:lpstr>biocide_price</vt:lpstr>
      <vt:lpstr>capex_steel_bare</vt:lpstr>
      <vt:lpstr>capex_steel_fbe</vt:lpstr>
      <vt:lpstr>chile_inland</vt:lpstr>
      <vt:lpstr>china_inland</vt:lpstr>
      <vt:lpstr>cost_per_steel_weight</vt:lpstr>
      <vt:lpstr>cost_per_steel_weight_t</vt:lpstr>
      <vt:lpstr>design_flow_rate</vt:lpstr>
      <vt:lpstr>design_flow_rate_l_s</vt:lpstr>
      <vt:lpstr>diff_friction_bare</vt:lpstr>
      <vt:lpstr>diff_inhibitors_bare</vt:lpstr>
      <vt:lpstr>diff_JFC</vt:lpstr>
      <vt:lpstr>diff_shop_coating</vt:lpstr>
      <vt:lpstr>diff_steel_bare</vt:lpstr>
      <vt:lpstr>diff_total_diff</vt:lpstr>
      <vt:lpstr>diff_total_fbe_usd</vt:lpstr>
      <vt:lpstr>diff_total_usd</vt:lpstr>
      <vt:lpstr>Dosing_plant_service_yr</vt:lpstr>
      <vt:lpstr>dynamic_viscosity_of_water</vt:lpstr>
      <vt:lpstr>electrical_energy_usd_mwh</vt:lpstr>
      <vt:lpstr>Elevation_change</vt:lpstr>
      <vt:lpstr>Energy_table_text_bare</vt:lpstr>
      <vt:lpstr>Energy_table_text_fbe</vt:lpstr>
      <vt:lpstr>extra_fjc</vt:lpstr>
      <vt:lpstr>extra_friction_energy</vt:lpstr>
      <vt:lpstr>extra_inspections</vt:lpstr>
      <vt:lpstr>extra_inspections_bare</vt:lpstr>
      <vt:lpstr>extra_shop_fbe</vt:lpstr>
      <vt:lpstr>extra_steel_percentage</vt:lpstr>
      <vt:lpstr>extra_wall_mm</vt:lpstr>
      <vt:lpstr>FBE_annual_Inspection</vt:lpstr>
      <vt:lpstr>FBE_cost_per_m2</vt:lpstr>
      <vt:lpstr>FBE_cost_per_surface</vt:lpstr>
      <vt:lpstr>fbe_elevation_energy_PV</vt:lpstr>
      <vt:lpstr>fbe_friction_energy_PV</vt:lpstr>
      <vt:lpstr>fbe_inside_diameter_yr_1</vt:lpstr>
      <vt:lpstr>fbe_inside_surface</vt:lpstr>
      <vt:lpstr>fbe_inspection_per_km</vt:lpstr>
      <vt:lpstr>fbe_inspections_PV</vt:lpstr>
      <vt:lpstr>FBE_plus_bare</vt:lpstr>
      <vt:lpstr>FBE_steel_percentage</vt:lpstr>
      <vt:lpstr>FBE_Steel_Perecentage</vt:lpstr>
      <vt:lpstr>fbe_steel_weight_t</vt:lpstr>
      <vt:lpstr>fbe_total_usd</vt:lpstr>
      <vt:lpstr>fbe_wall__yr_1_mm</vt:lpstr>
      <vt:lpstr>field_coating_total</vt:lpstr>
      <vt:lpstr>field_coating_usd_joint</vt:lpstr>
      <vt:lpstr>field_coating_usd_per_joint</vt:lpstr>
      <vt:lpstr>field_Joint_Coating</vt:lpstr>
      <vt:lpstr>FJc_surface</vt:lpstr>
      <vt:lpstr>FJE_vs_SC_Times_per_surface</vt:lpstr>
      <vt:lpstr>fluid_density</vt:lpstr>
      <vt:lpstr>freight_cost</vt:lpstr>
      <vt:lpstr>freight_cost_t</vt:lpstr>
      <vt:lpstr>gravitational_acceleration</vt:lpstr>
      <vt:lpstr>hrc_price_usd_t</vt:lpstr>
      <vt:lpstr>hrc_to_X70_multiplier</vt:lpstr>
      <vt:lpstr>inhibitor_cost_yr</vt:lpstr>
      <vt:lpstr>inhibitor_dosage</vt:lpstr>
      <vt:lpstr>inhibitor_kg_yr</vt:lpstr>
      <vt:lpstr>inhibitor_price</vt:lpstr>
      <vt:lpstr>inhibitors_injection</vt:lpstr>
      <vt:lpstr>interior_fbe_capex</vt:lpstr>
      <vt:lpstr>interior_fbe_capex_vs_steel_cost</vt:lpstr>
      <vt:lpstr>interior_fbe_thickness_mm</vt:lpstr>
      <vt:lpstr>joint_number</vt:lpstr>
      <vt:lpstr>ocean_freight</vt:lpstr>
      <vt:lpstr>outside_diameter</vt:lpstr>
      <vt:lpstr>outside_diameter_inches</vt:lpstr>
      <vt:lpstr>p_fjc_coated</vt:lpstr>
      <vt:lpstr>p_sc_coated</vt:lpstr>
      <vt:lpstr>p_steel_coated</vt:lpstr>
      <vt:lpstr>pipeline_length</vt:lpstr>
      <vt:lpstr>pipeline_length_km</vt:lpstr>
      <vt:lpstr>project_life</vt:lpstr>
      <vt:lpstr>Projected_kWh</vt:lpstr>
      <vt:lpstr>Projected_MWh</vt:lpstr>
      <vt:lpstr>Projected_Wh</vt:lpstr>
      <vt:lpstr>pump_efficiency</vt:lpstr>
      <vt:lpstr>pump_efficiency_percentage</vt:lpstr>
      <vt:lpstr>pv_inhibitors</vt:lpstr>
      <vt:lpstr>roughness_bare_yr_1_mm</vt:lpstr>
      <vt:lpstr>roughness_bare_yr_25_mm</vt:lpstr>
      <vt:lpstr>roughness_fbe_yr_1_mm</vt:lpstr>
      <vt:lpstr>roughness_fbe_yr_25_mm</vt:lpstr>
      <vt:lpstr>Sc_surface</vt:lpstr>
      <vt:lpstr>segment_length</vt:lpstr>
      <vt:lpstr>Shop_fbe_coating</vt:lpstr>
      <vt:lpstr>Steel_a1</vt:lpstr>
      <vt:lpstr>Steel_a2</vt:lpstr>
      <vt:lpstr>Steel_b1</vt:lpstr>
      <vt:lpstr>Steel_b2</vt:lpstr>
      <vt:lpstr>Steel_c1</vt:lpstr>
      <vt:lpstr>Steel_c2</vt:lpstr>
      <vt:lpstr>Steel_cost_difference</vt:lpstr>
      <vt:lpstr>Steel_diff_percentage</vt:lpstr>
      <vt:lpstr>Steel_Perecentage</vt:lpstr>
      <vt:lpstr>Times_coating_vs_FJC</vt:lpstr>
      <vt:lpstr>Total_capex</vt:lpstr>
      <vt:lpstr>Total_Field_Shop_Steel</vt:lpstr>
      <vt:lpstr>Total_opex</vt:lpstr>
      <vt:lpstr>Total_Steel_cost</vt:lpstr>
      <vt:lpstr>volume_1_m_bare</vt:lpstr>
      <vt:lpstr>volume_1_m_fbe</vt:lpstr>
      <vt:lpstr>volume_yr</vt:lpstr>
      <vt:lpstr>wall_corrosion_rate_mm_yr</vt:lpstr>
      <vt:lpstr>x70_steel_density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Mella</dc:creator>
  <cp:lastModifiedBy>JIM Mella</cp:lastModifiedBy>
  <dcterms:created xsi:type="dcterms:W3CDTF">2025-01-20T14:06:25Z</dcterms:created>
  <dcterms:modified xsi:type="dcterms:W3CDTF">2025-03-04T18:44:25Z</dcterms:modified>
</cp:coreProperties>
</file>