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gna/Dropbox/Victaulic/FBE_vs_Bare/GitHub/"/>
    </mc:Choice>
  </mc:AlternateContent>
  <xr:revisionPtr revIDLastSave="0" documentId="13_ncr:1_{B338CAE6-1103-A64D-9352-B5177E7B2A6F}" xr6:coauthVersionLast="47" xr6:coauthVersionMax="47" xr10:uidLastSave="{00000000-0000-0000-0000-000000000000}"/>
  <bookViews>
    <workbookView xWindow="0" yWindow="760" windowWidth="34560" windowHeight="19880" activeTab="8" xr2:uid="{4A80D9CF-9772-3D47-BAD7-B0FB3ABE71DF}"/>
    <workbookView xWindow="0" yWindow="760" windowWidth="34560" windowHeight="19880" activeTab="7" xr2:uid="{53D05BF2-39A4-304E-91BF-F60392E00A11}"/>
  </bookViews>
  <sheets>
    <sheet name="Parameters" sheetId="9" r:id="rId1"/>
    <sheet name="Steel" sheetId="10" r:id="rId2"/>
    <sheet name="Dosging" sheetId="11" r:id="rId3"/>
    <sheet name="SC" sheetId="12" r:id="rId4"/>
    <sheet name="FJC" sheetId="14" r:id="rId5"/>
    <sheet name="Inhibitors" sheetId="15" r:id="rId6"/>
    <sheet name="Inspections" sheetId="17" r:id="rId7"/>
    <sheet name="Electricity" sheetId="8" r:id="rId8"/>
    <sheet name="Charts" sheetId="3" r:id="rId9"/>
    <sheet name="Data_" sheetId="1" r:id="rId10"/>
    <sheet name="SRAII AMSA" sheetId="2" r:id="rId11"/>
    <sheet name="SAR Codelco" sheetId="16" r:id="rId12"/>
  </sheets>
  <externalReferences>
    <externalReference r:id="rId13"/>
  </externalReferences>
  <definedNames>
    <definedName name="_xlnm._FilterDatabase" localSheetId="8" hidden="1">Charts!$D$1:$G$9</definedName>
    <definedName name="_xlnm._FilterDatabase" localSheetId="0" hidden="1">Parameters!$A$2:$F$25</definedName>
    <definedName name="aguasin_price_200_L_s">Data_!$F$108</definedName>
    <definedName name="annual_discount_rate">Parameters!$C$29</definedName>
    <definedName name="annual_discount_rate_percent">Parameters!$C$28</definedName>
    <definedName name="annual_hours_operation_h_yr">Parameters!$C$25</definedName>
    <definedName name="annual_operation_h">Data_!$C$22</definedName>
    <definedName name="bare_cost_electricity_yr_1">Electricity!$E$12</definedName>
    <definedName name="bare_dosing_plant_CAPEX">Data_!$D$110</definedName>
    <definedName name="bare_electricity_pv">Charts!$B$49</definedName>
    <definedName name="bare_electricity_yr_1">Electricity!$J$22</definedName>
    <definedName name="bare_elevation_energy_PV">Electricity!$K$47</definedName>
    <definedName name="bare_f_yr_1">Electricity!$F$22</definedName>
    <definedName name="bare_friction_energy_PV">Electricity!$J$47</definedName>
    <definedName name="bare_hf_yr1_m">Electricity!$G$22</definedName>
    <definedName name="bare_id_m_yr_1">Data_!$C$39</definedName>
    <definedName name="bare_inside_diameter_yr_1">Parameters!$C$12</definedName>
    <definedName name="bare_inspect_opex">Data_!$C$100</definedName>
    <definedName name="bare_inspect_per_km_per_yr">Data_!$C$99</definedName>
    <definedName name="bare_inspection_per_km">Inspections!$C$3</definedName>
    <definedName name="bare_inspections_PV">Inspections!$C$7</definedName>
    <definedName name="bare_opex_NPV">Data_!$N$57</definedName>
    <definedName name="bare_re_yr_1">Electricity!$R$22</definedName>
    <definedName name="bare_roughness_yr_1">Electricity!$Q$22</definedName>
    <definedName name="bare_steel_capex">Data_!$C$38</definedName>
    <definedName name="bare_steel_percentage">Steel!$D$38</definedName>
    <definedName name="bare_steel_weight_t">Steel!$C$17</definedName>
    <definedName name="bare_total_usd">Charts!$E$10</definedName>
    <definedName name="bare_vel_yr_1_m_s">Electricity!$E$22</definedName>
    <definedName name="bare_wall__yr_1_mm">Parameters!$C$11</definedName>
    <definedName name="bare_wall_yr_1_mm">Data_!$E$9</definedName>
    <definedName name="biocide_cost_yr">Inhibitors!$F$12</definedName>
    <definedName name="biocide_kg_yr">Inhibitors!$D$12</definedName>
    <definedName name="biocide_price">Inhibitors!$E$12</definedName>
    <definedName name="capex_steel_bare">Steel!$C$19</definedName>
    <definedName name="capex_steel_fbe">Steel!$C$29</definedName>
    <definedName name="case_selection">Electricity!$B$18</definedName>
    <definedName name="case_selection_2">Electricity!$J$18</definedName>
    <definedName name="chem_inj_1">Data_!$D$83</definedName>
    <definedName name="chem_inj_2">Data_!$D$84</definedName>
    <definedName name="chem_inj_3">Data_!$D$85</definedName>
    <definedName name="chem_inj_4">Data_!$D$86</definedName>
    <definedName name="chem_inj_5">Data_!$D$87</definedName>
    <definedName name="chem_inj_6">Data_!$D$88</definedName>
    <definedName name="chem_inj_total">Data_!$D$89</definedName>
    <definedName name="chem_opex_pv">Data_!$E$90</definedName>
    <definedName name="chile_inland">Steel!$C$10</definedName>
    <definedName name="china_inland">Steel!$C$8</definedName>
    <definedName name="corrosion_opex_PV">Data_!$D$91</definedName>
    <definedName name="corrosion_opex_yr">Data_!$C$91</definedName>
    <definedName name="corrosion_rate">Data_!$B$9</definedName>
    <definedName name="corrosion_rate_mm_yr">Data_!$C$9</definedName>
    <definedName name="cost_of_steel_MT">Data_!#REF!</definedName>
    <definedName name="cost_per_steel_weight">Steel!$C$13</definedName>
    <definedName name="cost_per_steel_weight_t">Steel!$C$14</definedName>
    <definedName name="design_flow_rate">Parameters!$C$15</definedName>
    <definedName name="design_flow_rate_l_s">Parameters!$C$14</definedName>
    <definedName name="diameter_mm">Data_!$C$28</definedName>
    <definedName name="diff_friction_bare">Charts!$E$19</definedName>
    <definedName name="diff_inhibitors_bare">Charts!$E$18</definedName>
    <definedName name="diff_JFC">Charts!$F$21</definedName>
    <definedName name="diff_percent_usd">Charts!$G$10</definedName>
    <definedName name="diff_shop_coating">Charts!$F$23</definedName>
    <definedName name="diff_steel_bare">Charts!$E$20</definedName>
    <definedName name="diff_total_diff">Charts!$G$25</definedName>
    <definedName name="diff_total_fbe_usd">Charts!$F$25</definedName>
    <definedName name="diff_total_usd">Charts!$G$11</definedName>
    <definedName name="discount_rate">Data_!$C$24</definedName>
    <definedName name="Dosage_plant_investment">Dosging!$B$5</definedName>
    <definedName name="Dosage_plant_upfront_investment_m3_day">Data_!$C$43</definedName>
    <definedName name="Dosing_investment">Dosging!$B$2</definedName>
    <definedName name="Dosing_plant_capex">Data_!$C$44</definedName>
    <definedName name="dynamic_viscosity_of_water">Parameters!$C$18</definedName>
    <definedName name="dynamic_viscosity_of_water_cP">Data_!$C$31</definedName>
    <definedName name="electrical_energy_usd_mwh">Parameters!$C$32</definedName>
    <definedName name="Electricity_diff_MM">Charts!#REF!</definedName>
    <definedName name="Elevation_change">Parameters!$C$5</definedName>
    <definedName name="Elevation_change_m">Data_!$C$18</definedName>
    <definedName name="Encalada_cost_FBE_per_m_32_in">Data_!$E$61</definedName>
    <definedName name="Energy_cost">Data_!$C$21</definedName>
    <definedName name="Energy_cost_w_h">Data_!$E$21</definedName>
    <definedName name="Energy_table_text_bare">Electricity!$A$15</definedName>
    <definedName name="Energy_table_text_fbe">Electricity!$A$16</definedName>
    <definedName name="extra_friction_energy">Charts!$G$5</definedName>
    <definedName name="extra_inspections">Charts!$G$7</definedName>
    <definedName name="extra_inspections_bare">Charts!$E$22</definedName>
    <definedName name="extra_steel">Charts!$G$3</definedName>
    <definedName name="F_Design_Factor">[1]MAOP!$C$4</definedName>
    <definedName name="FBE_coating_capex">Data_!$C$64</definedName>
    <definedName name="FBE_cost_per_m2">Data_!$C$60</definedName>
    <definedName name="FBE_cost_per_surface">SC!$B$2</definedName>
    <definedName name="FBE_electricity_opex_npv">#REF!</definedName>
    <definedName name="fbe_electricity_pv">Charts!#REF!</definedName>
    <definedName name="fbe_elevation_energy_PV">Electricity!$K$75</definedName>
    <definedName name="fbe_friction_energy_PV">Electricity!$J$75</definedName>
    <definedName name="FBE_id_yr1_m">#REF!</definedName>
    <definedName name="FBE_inner_area_m2">Data_!$C$63</definedName>
    <definedName name="fbe_inside_diameter_yr_1">Parameters!$C$13</definedName>
    <definedName name="fbe_inside_surface">SC!$B$5</definedName>
    <definedName name="fbe_inspect_opex">Data_!$C$96</definedName>
    <definedName name="fbe_inspect_per_km_per_yr">Data_!$C$95</definedName>
    <definedName name="fbe_inspection_per_km">Inspections!$C$4</definedName>
    <definedName name="fbe_inspections_PV">Inspections!$C$8</definedName>
    <definedName name="FBE_opex_NPV">Table5[[#Totals],[OPEX]]</definedName>
    <definedName name="FBE_opex_NPV_1">Table5[[#Totals],[OPEX]]</definedName>
    <definedName name="FBE_plus_bare">SC!$B$8</definedName>
    <definedName name="FBE_re_yr_1">#REF!</definedName>
    <definedName name="FBE_steel_capex">Data_!$C$50</definedName>
    <definedName name="FBE_steel_percentage">Steel!$D$39</definedName>
    <definedName name="FBE_Steel_Perecentage">SC!$B$9</definedName>
    <definedName name="fbe_steel_weight_t">Steel!$C$27</definedName>
    <definedName name="fbe_total_usd">Charts!$F$10</definedName>
    <definedName name="fbe_wall__yr_1_mm">Parameters!$C$10</definedName>
    <definedName name="FBE_wall_yr_1">#REF!</definedName>
    <definedName name="field_coating_total">FJC!$C$14</definedName>
    <definedName name="field_coating_usd_joint">Parameters!$C$31</definedName>
    <definedName name="field_coating_usd_per_joint">FJC!$C$9</definedName>
    <definedName name="field_Joint_Coating">FJC!$C$22</definedName>
    <definedName name="FJc_surface">FJC!$C$16</definedName>
    <definedName name="FJE_vs_SC_Times_per_surface">FJC!$C$19</definedName>
    <definedName name="Flow_m3_h">Data_!$C$33</definedName>
    <definedName name="Flow_rate_m3_s">Data_!$C$32</definedName>
    <definedName name="fluid_density">Parameters!$C$17</definedName>
    <definedName name="freight_cost">Steel!$C$12</definedName>
    <definedName name="freight_cost_t">Steel!$C$11</definedName>
    <definedName name="grav_accel">Data_!$C$25</definedName>
    <definedName name="gravitational_acceleration">Parameters!$C$33</definedName>
    <definedName name="hrc_price">Data_!$C$7</definedName>
    <definedName name="hrc_price_usd_t">Parameters!$C$30</definedName>
    <definedName name="id_FBE_yr_25">Data_!$C$41</definedName>
    <definedName name="inhibitor_cost_yr">Inhibitors!$F$11</definedName>
    <definedName name="inhibitor_dosage">Inhibitors!$C$11</definedName>
    <definedName name="inhibitor_kg_yr">Inhibitors!$D$11</definedName>
    <definedName name="inhibitor_price">Inhibitors!$E$11</definedName>
    <definedName name="inhibitors_per_L_s">Data_!$C$89</definedName>
    <definedName name="inspections_bare_PV">Data_!$D$100</definedName>
    <definedName name="inspections_FBE_PV">Data_!$D$96</definedName>
    <definedName name="interior_fbe_capex">SC!$B$6</definedName>
    <definedName name="interior_fbe_capex_vs_steel_cost">SC!$C$6</definedName>
    <definedName name="interior_fbe_thickness_mm">Parameters!$C$23</definedName>
    <definedName name="joint_number">FJC!$C$13</definedName>
    <definedName name="k_yr_1">Electricity!$H$17</definedName>
    <definedName name="k_yr_1_2">Electricity!$N$17</definedName>
    <definedName name="k_yr_25">Electricity!$H$18</definedName>
    <definedName name="k_yr_25_2">Electricity!$N$18</definedName>
    <definedName name="m3_per_year">Data_!$C$90</definedName>
    <definedName name="ocean_freight">Steel!$C$9</definedName>
    <definedName name="opex_chem_yr">Data_!$D$90</definedName>
    <definedName name="outer_diameter_inch">Data_!$E$57</definedName>
    <definedName name="outside_diameter">Parameters!$C$8</definedName>
    <definedName name="outside_diameter_inches">Parameters!$C$7</definedName>
    <definedName name="p_fjc_coated">FJC!$D$22</definedName>
    <definedName name="p_sc_coated">FJC!$D$23</definedName>
    <definedName name="p_steel_coated">FJC!$D$21</definedName>
    <definedName name="pipe_id_bare_yr_1">Data_!$P$32</definedName>
    <definedName name="pipe_id_fbe_yr_1">Data_!$P$4</definedName>
    <definedName name="pipe_od_in">Data_!$C$5</definedName>
    <definedName name="pipe_od_m">Data_!$C$29</definedName>
    <definedName name="pipe_radius_mm">Data_!$E$28</definedName>
    <definedName name="pipe_segment_length_m">Data_!$C$4</definedName>
    <definedName name="pipe_total_joints">Data_!$C$45</definedName>
    <definedName name="pipeline_length">Parameters!$C$3</definedName>
    <definedName name="pipeline_length_km">Parameters!$C$4</definedName>
    <definedName name="project_life">Parameters!$C$24</definedName>
    <definedName name="Projected_kWh">Electricity!$E$10</definedName>
    <definedName name="Projected_MWh">Electricity!$E$9</definedName>
    <definedName name="Projected_Wh">Electricity!$E$11</definedName>
    <definedName name="pump_efficiency">Parameters!$C$27</definedName>
    <definedName name="pump_efficiency_percentage">Parameters!$C$26</definedName>
    <definedName name="pv_inhibitors">Inhibitors!$F$15</definedName>
    <definedName name="robotic_internal_coating_service">Data_!$C$73</definedName>
    <definedName name="robotic_internal_coating_service_CAPEX">Data_!$C$75</definedName>
    <definedName name="roughness_bare_pipe">Data_!$C$10</definedName>
    <definedName name="roughness_bare_pipe_yr_1">Data_!$C$10</definedName>
    <definedName name="roughness_bare_pipe_yr_25">Data_!$C$11</definedName>
    <definedName name="roughness_bare_yr_1_mm">Parameters!$C$19</definedName>
    <definedName name="roughness_bare_yr_25_mm">Parameters!$C$20</definedName>
    <definedName name="roughness_fbe_pipe">Data_!$C$12</definedName>
    <definedName name="roughness_FBE_yr_1">Data_!$C$12</definedName>
    <definedName name="roughness_fbe_yr_1_mm">Parameters!$C$21</definedName>
    <definedName name="roughness_FBE_yr_25">Data_!$C$13</definedName>
    <definedName name="roughness_fbe_yr_25_mm">Parameters!$C$22</definedName>
    <definedName name="roughness_FBE_yr1_m">Data_!$E$12</definedName>
    <definedName name="Safety_factor">Data_!$C$26</definedName>
    <definedName name="Sc_surface">FJC!$C$17</definedName>
    <definedName name="segment_length">Parameters!$C$6</definedName>
    <definedName name="Service_life_yr">Data_!$C$17</definedName>
    <definedName name="Shop_fbe_coating">FJC!$C$23</definedName>
    <definedName name="SMYS">[1]MAOP!$C$5</definedName>
    <definedName name="solver_eng" localSheetId="9" hidden="1">1</definedName>
    <definedName name="solver_lin" localSheetId="9" hidden="1">2</definedName>
    <definedName name="solver_neg" localSheetId="9" hidden="1">2</definedName>
    <definedName name="solver_num" localSheetId="9" hidden="1">0</definedName>
    <definedName name="solver_opt" localSheetId="9" hidden="1">Data_!$R$28</definedName>
    <definedName name="solver_typ" localSheetId="9" hidden="1">1</definedName>
    <definedName name="solver_val" localSheetId="9" hidden="1">0</definedName>
    <definedName name="solver_ver" localSheetId="9" hidden="1">2</definedName>
    <definedName name="Steel_a1">Steel!$C$33</definedName>
    <definedName name="Steel_a2">Steel!$C$34</definedName>
    <definedName name="Steel_b1">Steel!$D$33</definedName>
    <definedName name="Steel_b2">Steel!$D$34</definedName>
    <definedName name="Steel_c1">Steel!$C$35</definedName>
    <definedName name="Steel_c2">Steel!$D$35</definedName>
    <definedName name="Steel_cost_difference">Steel!$E$35</definedName>
    <definedName name="Steel_density_kg_m3">Data_!$C$6</definedName>
    <definedName name="Steel_diff_percentage">Steel!$E$34</definedName>
    <definedName name="Steel_Perecentage">SC!$B$10</definedName>
    <definedName name="Steel_pipe_transportation">Data_!$C$77</definedName>
    <definedName name="Steel_price_USD_MT">Data_!#REF!</definedName>
    <definedName name="Supply_contingency">Data_!$C$34</definedName>
    <definedName name="Times_coating_vs_FJC">FJC!$C$18</definedName>
    <definedName name="Total_Field_Shop_Steel">FJC!$C$24</definedName>
    <definedName name="Total_Steel_cost">FJC!$C$21</definedName>
    <definedName name="Total_Steel_Price">Data_!$C$80</definedName>
    <definedName name="Utilization_factor">Data_!#REF!</definedName>
    <definedName name="v_kinematic_viscosity">Data_!$C$30</definedName>
    <definedName name="viscosity_Pa_s">Data_!$C$15</definedName>
    <definedName name="volume_1_m_bare">Steel!$C$16</definedName>
    <definedName name="volume_1_m_fbe">Steel!$C$26</definedName>
    <definedName name="volume_yr">Inhibitors!$C$6</definedName>
    <definedName name="wall_corrosion_rate_mm_yr">Parameters!$C$9</definedName>
    <definedName name="wall_thickness_corrosion_mm">Data_!#REF!</definedName>
    <definedName name="wall_thickness_mm">Data_!$C$8</definedName>
    <definedName name="wall_tol">[1]MAOP!$C$3</definedName>
    <definedName name="wall_yr_1">Electricity!$E$17</definedName>
    <definedName name="wall_yr_1_1">Electricity!$M$17</definedName>
    <definedName name="wall_yr_25">Electricity!$E$18</definedName>
    <definedName name="wall_yr_25_2">Electricity!$M$18</definedName>
    <definedName name="water_density">Data_!$C$14</definedName>
    <definedName name="x70_steel_density">Parameters!$C$16</definedName>
  </definedNames>
  <calcPr calcId="191029" iterate="1" iterateCount="600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14" l="1"/>
  <c r="C17" i="14"/>
  <c r="J22" i="3"/>
  <c r="I29" i="3" s="1"/>
  <c r="L32" i="3"/>
  <c r="L17" i="3"/>
  <c r="I33" i="3"/>
  <c r="I30" i="3"/>
  <c r="J25" i="3"/>
  <c r="I32" i="3" s="1"/>
  <c r="J24" i="3"/>
  <c r="I31" i="3" s="1"/>
  <c r="J16" i="3"/>
  <c r="I17" i="3" s="1"/>
  <c r="J20" i="3"/>
  <c r="I27" i="3" s="1"/>
  <c r="J21" i="3"/>
  <c r="I28" i="3" s="1"/>
  <c r="M23" i="3"/>
  <c r="L30" i="3" s="1"/>
  <c r="M24" i="3"/>
  <c r="L31" i="3" s="1"/>
  <c r="M22" i="3"/>
  <c r="L29" i="3" s="1"/>
  <c r="M20" i="3"/>
  <c r="L27" i="3" s="1"/>
  <c r="M21" i="3"/>
  <c r="L28" i="3" s="1"/>
  <c r="M16" i="3"/>
  <c r="I30" i="9"/>
  <c r="Q46" i="8"/>
  <c r="Q22" i="8"/>
  <c r="C4" i="9" l="1"/>
  <c r="C11" i="10"/>
  <c r="E12" i="15"/>
  <c r="E11" i="15"/>
  <c r="C11" i="9"/>
  <c r="E11" i="8"/>
  <c r="C33" i="10" l="1"/>
  <c r="C4" i="10"/>
  <c r="E3" i="8"/>
  <c r="C15" i="9"/>
  <c r="U60" i="8" s="1"/>
  <c r="A8" i="9"/>
  <c r="C16" i="1"/>
  <c r="E5" i="8"/>
  <c r="E6" i="8"/>
  <c r="E8" i="8"/>
  <c r="E10" i="8"/>
  <c r="C6" i="17"/>
  <c r="C5" i="17"/>
  <c r="C9" i="14" l="1"/>
  <c r="U42" i="8"/>
  <c r="U43" i="8"/>
  <c r="U44" i="8"/>
  <c r="U45" i="8"/>
  <c r="U46" i="8"/>
  <c r="U50" i="8"/>
  <c r="U65" i="8"/>
  <c r="U51" i="8"/>
  <c r="U52" i="8"/>
  <c r="U61" i="8"/>
  <c r="U62" i="8"/>
  <c r="U64" i="8"/>
  <c r="U30" i="8"/>
  <c r="U31" i="8"/>
  <c r="U66" i="8"/>
  <c r="U32" i="8"/>
  <c r="U67" i="8"/>
  <c r="U26" i="8"/>
  <c r="U27" i="8"/>
  <c r="U28" i="8"/>
  <c r="U63" i="8"/>
  <c r="U29" i="8"/>
  <c r="U33" i="8"/>
  <c r="U68" i="8"/>
  <c r="U73" i="8"/>
  <c r="U34" i="8"/>
  <c r="U53" i="8"/>
  <c r="U69" i="8"/>
  <c r="U36" i="8"/>
  <c r="U37" i="8"/>
  <c r="U74" i="8"/>
  <c r="U35" i="8"/>
  <c r="U54" i="8"/>
  <c r="U70" i="8"/>
  <c r="U55" i="8"/>
  <c r="U22" i="8"/>
  <c r="U59" i="8"/>
  <c r="E4" i="8"/>
  <c r="U71" i="8"/>
  <c r="U56" i="8"/>
  <c r="U72" i="8"/>
  <c r="U23" i="8"/>
  <c r="U38" i="8"/>
  <c r="U57" i="8"/>
  <c r="U24" i="8"/>
  <c r="U39" i="8"/>
  <c r="U58" i="8"/>
  <c r="Z24" i="8"/>
  <c r="U40" i="8"/>
  <c r="U25" i="8"/>
  <c r="U41" i="8"/>
  <c r="B4" i="12"/>
  <c r="C5" i="15"/>
  <c r="C7" i="15"/>
  <c r="C3" i="15"/>
  <c r="C4" i="15" s="1"/>
  <c r="G4" i="14"/>
  <c r="C3" i="14"/>
  <c r="C12" i="14"/>
  <c r="C11" i="14"/>
  <c r="C13" i="14"/>
  <c r="D9" i="14"/>
  <c r="B3" i="11"/>
  <c r="B5" i="11" s="1"/>
  <c r="B4" i="11"/>
  <c r="C24" i="10"/>
  <c r="D33" i="10" s="1"/>
  <c r="C23" i="10"/>
  <c r="C12" i="10"/>
  <c r="C6" i="10"/>
  <c r="C3" i="10"/>
  <c r="C8" i="9"/>
  <c r="AB36" i="8" s="1"/>
  <c r="C29" i="9"/>
  <c r="A27" i="9"/>
  <c r="A13" i="9"/>
  <c r="A12" i="9"/>
  <c r="A15" i="9"/>
  <c r="A7" i="9"/>
  <c r="A25" i="9"/>
  <c r="A32" i="9"/>
  <c r="A31" i="9"/>
  <c r="A30" i="9"/>
  <c r="A28" i="9"/>
  <c r="A26" i="9"/>
  <c r="A23" i="9"/>
  <c r="A24" i="9"/>
  <c r="A10" i="9"/>
  <c r="A22" i="9"/>
  <c r="A21" i="9"/>
  <c r="A20" i="9"/>
  <c r="A19" i="9"/>
  <c r="A11" i="9"/>
  <c r="A29" i="9"/>
  <c r="A14" i="9"/>
  <c r="A9" i="9"/>
  <c r="A5" i="9"/>
  <c r="A18" i="9"/>
  <c r="A17" i="9"/>
  <c r="A16" i="9"/>
  <c r="A6" i="9"/>
  <c r="A3" i="9"/>
  <c r="A33" i="9"/>
  <c r="C48" i="1"/>
  <c r="C36" i="1"/>
  <c r="E21" i="1"/>
  <c r="E17" i="8"/>
  <c r="O22" i="8" s="1"/>
  <c r="N18" i="8"/>
  <c r="Q74" i="8" s="1"/>
  <c r="N17" i="8"/>
  <c r="Q50" i="8" s="1"/>
  <c r="M17" i="8"/>
  <c r="O50" i="8" s="1"/>
  <c r="M18" i="8"/>
  <c r="O74" i="8" s="1"/>
  <c r="T74" i="8"/>
  <c r="L74" i="8"/>
  <c r="T73" i="8"/>
  <c r="L73" i="8"/>
  <c r="T72" i="8"/>
  <c r="L72" i="8"/>
  <c r="T71" i="8"/>
  <c r="L71" i="8"/>
  <c r="T70" i="8"/>
  <c r="L70" i="8"/>
  <c r="T69" i="8"/>
  <c r="L69" i="8"/>
  <c r="T68" i="8"/>
  <c r="L68" i="8"/>
  <c r="T67" i="8"/>
  <c r="L67" i="8"/>
  <c r="T66" i="8"/>
  <c r="L66" i="8"/>
  <c r="T65" i="8"/>
  <c r="L65" i="8"/>
  <c r="T64" i="8"/>
  <c r="L64" i="8"/>
  <c r="T63" i="8"/>
  <c r="L63" i="8"/>
  <c r="T62" i="8"/>
  <c r="L62" i="8"/>
  <c r="T61" i="8"/>
  <c r="L61" i="8"/>
  <c r="T60" i="8"/>
  <c r="L60" i="8"/>
  <c r="T59" i="8"/>
  <c r="L59" i="8"/>
  <c r="T58" i="8"/>
  <c r="L58" i="8"/>
  <c r="T57" i="8"/>
  <c r="L57" i="8"/>
  <c r="T56" i="8"/>
  <c r="L56" i="8"/>
  <c r="T55" i="8"/>
  <c r="L55" i="8"/>
  <c r="T54" i="8"/>
  <c r="L54" i="8"/>
  <c r="T53" i="8"/>
  <c r="L53" i="8"/>
  <c r="T52" i="8"/>
  <c r="L52" i="8"/>
  <c r="T51" i="8"/>
  <c r="L51" i="8"/>
  <c r="T50" i="8"/>
  <c r="M50" i="8"/>
  <c r="N50" i="8" s="1"/>
  <c r="L50" i="8"/>
  <c r="AB38" i="8"/>
  <c r="AB34" i="8"/>
  <c r="E3" i="1"/>
  <c r="E9" i="1"/>
  <c r="E12" i="1"/>
  <c r="H18" i="8"/>
  <c r="B46" i="8" s="1"/>
  <c r="H17" i="8"/>
  <c r="E18" i="8"/>
  <c r="O46" i="8" s="1"/>
  <c r="AB35" i="8"/>
  <c r="AB21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C15" i="1"/>
  <c r="L28" i="8" s="1"/>
  <c r="M22" i="8"/>
  <c r="N22" i="8" s="1"/>
  <c r="AB26" i="8" s="1"/>
  <c r="C30" i="1"/>
  <c r="I35" i="8" l="1"/>
  <c r="I39" i="8"/>
  <c r="I37" i="8"/>
  <c r="I31" i="8"/>
  <c r="I24" i="8"/>
  <c r="I36" i="8"/>
  <c r="I30" i="8"/>
  <c r="I57" i="8"/>
  <c r="I69" i="8"/>
  <c r="I64" i="8"/>
  <c r="I23" i="8"/>
  <c r="I38" i="8"/>
  <c r="I53" i="8"/>
  <c r="I62" i="8"/>
  <c r="I61" i="8"/>
  <c r="C8" i="15"/>
  <c r="I56" i="8"/>
  <c r="I68" i="8"/>
  <c r="I51" i="8"/>
  <c r="I34" i="8"/>
  <c r="I72" i="8"/>
  <c r="I73" i="8"/>
  <c r="I52" i="8"/>
  <c r="I71" i="8"/>
  <c r="I33" i="8"/>
  <c r="I65" i="8"/>
  <c r="A16" i="8"/>
  <c r="E23" i="1"/>
  <c r="E7" i="8"/>
  <c r="I29" i="8"/>
  <c r="I50" i="8"/>
  <c r="I59" i="8"/>
  <c r="I63" i="8"/>
  <c r="I46" i="8"/>
  <c r="I22" i="8"/>
  <c r="I28" i="8"/>
  <c r="I45" i="8"/>
  <c r="I41" i="8"/>
  <c r="I55" i="8"/>
  <c r="I27" i="8"/>
  <c r="I44" i="8"/>
  <c r="I25" i="8"/>
  <c r="I70" i="8"/>
  <c r="I26" i="8"/>
  <c r="I43" i="8"/>
  <c r="I40" i="8"/>
  <c r="I54" i="8"/>
  <c r="I67" i="8"/>
  <c r="I42" i="8"/>
  <c r="I32" i="8"/>
  <c r="I58" i="8"/>
  <c r="I74" i="8"/>
  <c r="I66" i="8"/>
  <c r="I60" i="8"/>
  <c r="C7" i="14"/>
  <c r="E9" i="3"/>
  <c r="H10" i="3" s="1"/>
  <c r="I22" i="3" s="1"/>
  <c r="E24" i="3"/>
  <c r="C13" i="9"/>
  <c r="B5" i="12" s="1"/>
  <c r="C7" i="17"/>
  <c r="E7" i="3" s="1"/>
  <c r="I12" i="3" s="1"/>
  <c r="I25" i="3" s="1"/>
  <c r="C8" i="17"/>
  <c r="F7" i="3" s="1"/>
  <c r="L11" i="3" s="1"/>
  <c r="L24" i="3" s="1"/>
  <c r="C4" i="14"/>
  <c r="C5" i="14"/>
  <c r="C6" i="14"/>
  <c r="C5" i="10"/>
  <c r="C8" i="14"/>
  <c r="C14" i="14"/>
  <c r="C6" i="15"/>
  <c r="C12" i="9"/>
  <c r="C15" i="10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M54" i="8"/>
  <c r="N54" i="8" s="1"/>
  <c r="M73" i="8"/>
  <c r="N73" i="8" s="1"/>
  <c r="M57" i="8"/>
  <c r="N57" i="8" s="1"/>
  <c r="M60" i="8"/>
  <c r="N60" i="8" s="1"/>
  <c r="M67" i="8"/>
  <c r="N67" i="8" s="1"/>
  <c r="M55" i="8"/>
  <c r="N55" i="8" s="1"/>
  <c r="M58" i="8"/>
  <c r="N58" i="8" s="1"/>
  <c r="M74" i="8"/>
  <c r="N74" i="8" s="1"/>
  <c r="P74" i="8" s="1"/>
  <c r="C74" i="8" s="1"/>
  <c r="M52" i="8"/>
  <c r="N52" i="8" s="1"/>
  <c r="M68" i="8"/>
  <c r="N68" i="8" s="1"/>
  <c r="M71" i="8"/>
  <c r="N71" i="8" s="1"/>
  <c r="M70" i="8"/>
  <c r="N70" i="8" s="1"/>
  <c r="M64" i="8"/>
  <c r="N64" i="8" s="1"/>
  <c r="M72" i="8"/>
  <c r="N72" i="8" s="1"/>
  <c r="P50" i="8"/>
  <c r="C50" i="8" s="1"/>
  <c r="M53" i="8"/>
  <c r="N53" i="8" s="1"/>
  <c r="M51" i="8"/>
  <c r="N51" i="8" s="1"/>
  <c r="M65" i="8"/>
  <c r="N65" i="8" s="1"/>
  <c r="B74" i="8"/>
  <c r="M56" i="8"/>
  <c r="N56" i="8" s="1"/>
  <c r="M59" i="8"/>
  <c r="N59" i="8" s="1"/>
  <c r="D74" i="8"/>
  <c r="M69" i="8"/>
  <c r="N69" i="8" s="1"/>
  <c r="M61" i="8"/>
  <c r="N61" i="8" s="1"/>
  <c r="M62" i="8"/>
  <c r="N62" i="8" s="1"/>
  <c r="M66" i="8"/>
  <c r="N66" i="8" s="1"/>
  <c r="M63" i="8"/>
  <c r="N63" i="8" s="1"/>
  <c r="D50" i="8"/>
  <c r="L44" i="8"/>
  <c r="L46" i="8"/>
  <c r="L32" i="8"/>
  <c r="L35" i="8"/>
  <c r="L30" i="8"/>
  <c r="L31" i="8"/>
  <c r="L36" i="8"/>
  <c r="L33" i="8"/>
  <c r="L34" i="8"/>
  <c r="L37" i="8"/>
  <c r="L38" i="8"/>
  <c r="L39" i="8"/>
  <c r="L45" i="8"/>
  <c r="L23" i="8"/>
  <c r="L43" i="8"/>
  <c r="L27" i="8"/>
  <c r="L42" i="8"/>
  <c r="L26" i="8"/>
  <c r="L41" i="8"/>
  <c r="L25" i="8"/>
  <c r="L40" i="8"/>
  <c r="L24" i="8"/>
  <c r="L22" i="8"/>
  <c r="AB25" i="8" s="1"/>
  <c r="L29" i="8"/>
  <c r="Q23" i="8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B45" i="8" s="1"/>
  <c r="O23" i="8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P22" i="8"/>
  <c r="B22" i="8"/>
  <c r="M24" i="8"/>
  <c r="M23" i="8"/>
  <c r="N23" i="8" s="1"/>
  <c r="M25" i="8"/>
  <c r="AB23" i="8"/>
  <c r="M35" i="8"/>
  <c r="M39" i="8"/>
  <c r="M43" i="8"/>
  <c r="AB29" i="8"/>
  <c r="M33" i="8"/>
  <c r="M44" i="8"/>
  <c r="M34" i="8"/>
  <c r="M45" i="8"/>
  <c r="M36" i="8"/>
  <c r="M32" i="8"/>
  <c r="M42" i="8"/>
  <c r="M28" i="8"/>
  <c r="M29" i="8"/>
  <c r="M30" i="8"/>
  <c r="M40" i="8"/>
  <c r="M26" i="8"/>
  <c r="M46" i="8"/>
  <c r="M27" i="8"/>
  <c r="M37" i="8"/>
  <c r="M38" i="8"/>
  <c r="M31" i="8"/>
  <c r="M41" i="8"/>
  <c r="C26" i="10" l="1"/>
  <c r="C28" i="10" s="1"/>
  <c r="C27" i="10" s="1"/>
  <c r="D34" i="10" s="1"/>
  <c r="C7" i="10"/>
  <c r="C13" i="10" s="1"/>
  <c r="C14" i="10" s="1"/>
  <c r="G7" i="3"/>
  <c r="E22" i="3" s="1"/>
  <c r="G9" i="3"/>
  <c r="B6" i="12"/>
  <c r="G22" i="3"/>
  <c r="C16" i="10"/>
  <c r="C18" i="10" s="1"/>
  <c r="B3" i="12"/>
  <c r="C25" i="10"/>
  <c r="C22" i="14"/>
  <c r="F4" i="3"/>
  <c r="K10" i="3" s="1"/>
  <c r="L21" i="3" s="1"/>
  <c r="F21" i="3"/>
  <c r="B51" i="8"/>
  <c r="D11" i="15"/>
  <c r="D12" i="15"/>
  <c r="P51" i="8"/>
  <c r="C51" i="8" s="1"/>
  <c r="D51" i="8"/>
  <c r="B50" i="8"/>
  <c r="D52" i="8"/>
  <c r="P52" i="8"/>
  <c r="B52" i="8"/>
  <c r="B26" i="8"/>
  <c r="B33" i="8"/>
  <c r="B28" i="8"/>
  <c r="B24" i="8"/>
  <c r="B27" i="8"/>
  <c r="B41" i="8"/>
  <c r="B39" i="8"/>
  <c r="B36" i="8"/>
  <c r="B40" i="8"/>
  <c r="B44" i="8"/>
  <c r="B38" i="8"/>
  <c r="B43" i="8"/>
  <c r="B30" i="8"/>
  <c r="B31" i="8"/>
  <c r="B25" i="8"/>
  <c r="B32" i="8"/>
  <c r="B37" i="8"/>
  <c r="B29" i="8"/>
  <c r="B35" i="8"/>
  <c r="B34" i="8"/>
  <c r="P23" i="8"/>
  <c r="B42" i="8"/>
  <c r="N24" i="8"/>
  <c r="P24" i="8" s="1"/>
  <c r="C29" i="10" l="1"/>
  <c r="D35" i="10" s="1"/>
  <c r="F23" i="3"/>
  <c r="F25" i="3" s="1"/>
  <c r="G4" i="3"/>
  <c r="F8" i="3"/>
  <c r="K11" i="3" s="1"/>
  <c r="L22" i="3" s="1"/>
  <c r="C19" i="10"/>
  <c r="C38" i="10" s="1"/>
  <c r="C17" i="10"/>
  <c r="C34" i="10" s="1"/>
  <c r="C23" i="14"/>
  <c r="C39" i="10"/>
  <c r="B7" i="12"/>
  <c r="F12" i="15"/>
  <c r="G12" i="15"/>
  <c r="F11" i="15"/>
  <c r="G11" i="15"/>
  <c r="B53" i="8"/>
  <c r="D53" i="8"/>
  <c r="P53" i="8"/>
  <c r="C52" i="8"/>
  <c r="N25" i="8"/>
  <c r="P25" i="8" s="1"/>
  <c r="C18" i="14" l="1"/>
  <c r="C19" i="14"/>
  <c r="C21" i="14"/>
  <c r="C24" i="14" s="1"/>
  <c r="F3" i="3"/>
  <c r="K9" i="3" s="1"/>
  <c r="I20" i="3" s="1"/>
  <c r="B8" i="12"/>
  <c r="B9" i="12" s="1"/>
  <c r="G8" i="3"/>
  <c r="E3" i="3"/>
  <c r="H9" i="3" s="1"/>
  <c r="C35" i="10"/>
  <c r="F33" i="10" s="1"/>
  <c r="F13" i="15"/>
  <c r="F15" i="15" s="1"/>
  <c r="E18" i="3" s="1"/>
  <c r="C40" i="10"/>
  <c r="D40" i="10" s="1"/>
  <c r="D39" i="10"/>
  <c r="D54" i="8"/>
  <c r="P54" i="8"/>
  <c r="C53" i="8"/>
  <c r="B54" i="8"/>
  <c r="N26" i="8"/>
  <c r="P26" i="8" s="1"/>
  <c r="H14" i="3" l="1"/>
  <c r="K13" i="3"/>
  <c r="L20" i="3"/>
  <c r="D21" i="14"/>
  <c r="D23" i="14"/>
  <c r="B10" i="12"/>
  <c r="G20" i="3"/>
  <c r="E33" i="3"/>
  <c r="G3" i="3"/>
  <c r="E20" i="3" s="1"/>
  <c r="E2" i="3"/>
  <c r="I9" i="3" s="1"/>
  <c r="I24" i="3" s="1"/>
  <c r="B55" i="8"/>
  <c r="C54" i="8"/>
  <c r="D55" i="8"/>
  <c r="P55" i="8"/>
  <c r="N27" i="8"/>
  <c r="P27" i="8" s="1"/>
  <c r="D56" i="8" l="1"/>
  <c r="P56" i="8"/>
  <c r="B56" i="8"/>
  <c r="C55" i="8"/>
  <c r="N28" i="8"/>
  <c r="P28" i="8" s="1"/>
  <c r="C56" i="8" l="1"/>
  <c r="B57" i="8"/>
  <c r="D57" i="8"/>
  <c r="P57" i="8"/>
  <c r="N29" i="8"/>
  <c r="P29" i="8" s="1"/>
  <c r="C57" i="8" l="1"/>
  <c r="D58" i="8"/>
  <c r="P58" i="8"/>
  <c r="B58" i="8"/>
  <c r="N30" i="8"/>
  <c r="P30" i="8" s="1"/>
  <c r="B59" i="8" l="1"/>
  <c r="C58" i="8"/>
  <c r="D59" i="8"/>
  <c r="P59" i="8"/>
  <c r="N31" i="8"/>
  <c r="P31" i="8" s="1"/>
  <c r="C59" i="8" l="1"/>
  <c r="B60" i="8"/>
  <c r="D60" i="8"/>
  <c r="P60" i="8"/>
  <c r="N32" i="8"/>
  <c r="P32" i="8" s="1"/>
  <c r="C60" i="8" l="1"/>
  <c r="D61" i="8"/>
  <c r="P61" i="8"/>
  <c r="B61" i="8"/>
  <c r="N33" i="8"/>
  <c r="P33" i="8" s="1"/>
  <c r="C61" i="8" l="1"/>
  <c r="B62" i="8"/>
  <c r="D62" i="8"/>
  <c r="P62" i="8"/>
  <c r="N34" i="8"/>
  <c r="P34" i="8" s="1"/>
  <c r="B63" i="8" l="1"/>
  <c r="C62" i="8"/>
  <c r="D63" i="8"/>
  <c r="P63" i="8"/>
  <c r="N35" i="8"/>
  <c r="P35" i="8" s="1"/>
  <c r="C63" i="8" l="1"/>
  <c r="D64" i="8"/>
  <c r="P64" i="8"/>
  <c r="B64" i="8"/>
  <c r="N36" i="8"/>
  <c r="P36" i="8" s="1"/>
  <c r="B65" i="8" l="1"/>
  <c r="C64" i="8"/>
  <c r="D65" i="8"/>
  <c r="P65" i="8"/>
  <c r="N37" i="8"/>
  <c r="P37" i="8" s="1"/>
  <c r="C65" i="8" l="1"/>
  <c r="D66" i="8"/>
  <c r="P66" i="8"/>
  <c r="B66" i="8"/>
  <c r="N38" i="8"/>
  <c r="P38" i="8" s="1"/>
  <c r="B67" i="8" l="1"/>
  <c r="D67" i="8"/>
  <c r="P67" i="8"/>
  <c r="C66" i="8"/>
  <c r="N39" i="8"/>
  <c r="P39" i="8" s="1"/>
  <c r="C67" i="8" l="1"/>
  <c r="D68" i="8"/>
  <c r="P68" i="8"/>
  <c r="B68" i="8"/>
  <c r="N40" i="8"/>
  <c r="P40" i="8" s="1"/>
  <c r="C68" i="8" l="1"/>
  <c r="B69" i="8"/>
  <c r="D69" i="8"/>
  <c r="P69" i="8"/>
  <c r="N41" i="8"/>
  <c r="P41" i="8" s="1"/>
  <c r="D70" i="8" l="1"/>
  <c r="P70" i="8"/>
  <c r="B70" i="8"/>
  <c r="C69" i="8"/>
  <c r="N42" i="8"/>
  <c r="P42" i="8" s="1"/>
  <c r="B71" i="8" l="1"/>
  <c r="C70" i="8"/>
  <c r="D71" i="8"/>
  <c r="P71" i="8"/>
  <c r="N43" i="8"/>
  <c r="P43" i="8" s="1"/>
  <c r="C71" i="8" l="1"/>
  <c r="D72" i="8"/>
  <c r="P72" i="8"/>
  <c r="B72" i="8"/>
  <c r="N44" i="8"/>
  <c r="P44" i="8" s="1"/>
  <c r="B73" i="8" l="1"/>
  <c r="C72" i="8"/>
  <c r="D73" i="8"/>
  <c r="P73" i="8"/>
  <c r="N46" i="8"/>
  <c r="P46" i="8" s="1"/>
  <c r="N45" i="8"/>
  <c r="P45" i="8" s="1"/>
  <c r="C96" i="1"/>
  <c r="D96" i="1" s="1"/>
  <c r="C100" i="1"/>
  <c r="D100" i="1" s="1"/>
  <c r="C90" i="1"/>
  <c r="D89" i="1"/>
  <c r="D84" i="1" s="1"/>
  <c r="B2" i="3"/>
  <c r="B3" i="3" s="1"/>
  <c r="C62" i="1"/>
  <c r="E58" i="1"/>
  <c r="E60" i="1" s="1"/>
  <c r="C61" i="1" s="1"/>
  <c r="C77" i="1"/>
  <c r="B4" i="3" s="1"/>
  <c r="B5" i="3" l="1"/>
  <c r="C73" i="8"/>
  <c r="D90" i="1"/>
  <c r="E90" i="1" s="1"/>
  <c r="D87" i="1"/>
  <c r="D86" i="1"/>
  <c r="D88" i="1"/>
  <c r="D85" i="1"/>
  <c r="D83" i="1"/>
  <c r="F107" i="1"/>
  <c r="C110" i="1"/>
  <c r="D110" i="1" s="1"/>
  <c r="E106" i="1"/>
  <c r="F106" i="1" s="1"/>
  <c r="E105" i="1"/>
  <c r="F105" i="1" s="1"/>
  <c r="G2" i="3" l="1"/>
  <c r="H76" i="1"/>
  <c r="H84" i="1"/>
  <c r="F108" i="1"/>
  <c r="C91" i="1" s="1"/>
  <c r="D91" i="1" s="1"/>
  <c r="I4" i="1"/>
  <c r="I28" i="1"/>
  <c r="I56" i="1"/>
  <c r="C83" i="1"/>
  <c r="C79" i="1"/>
  <c r="C78" i="1" s="1"/>
  <c r="C80" i="1" s="1"/>
  <c r="C45" i="1"/>
  <c r="C75" i="1" s="1"/>
  <c r="B32" i="3" s="1"/>
  <c r="C72" i="1"/>
  <c r="C71" i="1"/>
  <c r="C70" i="1"/>
  <c r="C69" i="1"/>
  <c r="C68" i="1"/>
  <c r="C67" i="1"/>
  <c r="C59" i="1"/>
  <c r="C58" i="1"/>
  <c r="C57" i="1"/>
  <c r="C56" i="1"/>
  <c r="C55" i="1"/>
  <c r="C34" i="1"/>
  <c r="E110" i="1" s="1"/>
  <c r="C27" i="1"/>
  <c r="C28" i="1"/>
  <c r="C4" i="2"/>
  <c r="C5" i="2"/>
  <c r="C6" i="2"/>
  <c r="C7" i="2"/>
  <c r="C8" i="2"/>
  <c r="C9" i="2"/>
  <c r="C12" i="2"/>
  <c r="C13" i="2"/>
  <c r="C14" i="2"/>
  <c r="C15" i="2"/>
  <c r="C16" i="2"/>
  <c r="AP46" i="1"/>
  <c r="AP44" i="1"/>
  <c r="AP40" i="1"/>
  <c r="AY32" i="1"/>
  <c r="AZ32" i="1" s="1"/>
  <c r="I32" i="1"/>
  <c r="AZ31" i="1"/>
  <c r="AZ30" i="1"/>
  <c r="AV30" i="1"/>
  <c r="AZ28" i="1"/>
  <c r="AW28" i="1"/>
  <c r="AR28" i="1"/>
  <c r="AW27" i="1"/>
  <c r="AQ27" i="1"/>
  <c r="AZ26" i="1"/>
  <c r="AW26" i="1"/>
  <c r="AR26" i="1"/>
  <c r="AQ22" i="1"/>
  <c r="AQ21" i="1"/>
  <c r="C33" i="1"/>
  <c r="C32" i="1"/>
  <c r="A15" i="8" l="1"/>
  <c r="K34" i="8"/>
  <c r="K33" i="8"/>
  <c r="K40" i="8"/>
  <c r="K38" i="8"/>
  <c r="K37" i="8"/>
  <c r="K36" i="8"/>
  <c r="K26" i="8"/>
  <c r="S40" i="8"/>
  <c r="S26" i="8"/>
  <c r="BD15" i="1"/>
  <c r="C87" i="1"/>
  <c r="C86" i="1"/>
  <c r="C88" i="1"/>
  <c r="C84" i="1"/>
  <c r="C85" i="1"/>
  <c r="C41" i="1"/>
  <c r="E28" i="1"/>
  <c r="I65" i="1"/>
  <c r="H80" i="1"/>
  <c r="H72" i="1" s="1"/>
  <c r="C43" i="1"/>
  <c r="C44" i="1" s="1"/>
  <c r="I73" i="1"/>
  <c r="I85" i="1"/>
  <c r="I66" i="1"/>
  <c r="I75" i="1" s="1"/>
  <c r="H1" i="1"/>
  <c r="C39" i="1"/>
  <c r="C29" i="1"/>
  <c r="C63" i="1" s="1"/>
  <c r="I57" i="1"/>
  <c r="I33" i="1" s="1"/>
  <c r="AQ23" i="1"/>
  <c r="AQ25" i="1" s="1"/>
  <c r="AQ29" i="1" s="1"/>
  <c r="S56" i="8" l="1"/>
  <c r="K56" i="8"/>
  <c r="E56" i="8"/>
  <c r="R56" i="8" s="1"/>
  <c r="S51" i="8"/>
  <c r="K51" i="8"/>
  <c r="E51" i="8"/>
  <c r="R51" i="8" s="1"/>
  <c r="K63" i="8"/>
  <c r="S63" i="8"/>
  <c r="E63" i="8"/>
  <c r="R63" i="8" s="1"/>
  <c r="S72" i="8"/>
  <c r="K72" i="8"/>
  <c r="E72" i="8"/>
  <c r="R72" i="8" s="1"/>
  <c r="S57" i="8"/>
  <c r="K57" i="8"/>
  <c r="E57" i="8"/>
  <c r="R57" i="8" s="1"/>
  <c r="S38" i="8"/>
  <c r="S62" i="8"/>
  <c r="K62" i="8"/>
  <c r="E62" i="8"/>
  <c r="R62" i="8" s="1"/>
  <c r="S69" i="8"/>
  <c r="K69" i="8"/>
  <c r="E69" i="8"/>
  <c r="R69" i="8" s="1"/>
  <c r="S66" i="8"/>
  <c r="K66" i="8"/>
  <c r="E66" i="8"/>
  <c r="R66" i="8" s="1"/>
  <c r="S34" i="8"/>
  <c r="S58" i="8"/>
  <c r="K58" i="8"/>
  <c r="E58" i="8"/>
  <c r="R58" i="8" s="1"/>
  <c r="S73" i="8"/>
  <c r="K73" i="8"/>
  <c r="E73" i="8"/>
  <c r="R73" i="8" s="1"/>
  <c r="S70" i="8"/>
  <c r="K70" i="8"/>
  <c r="E70" i="8"/>
  <c r="R70" i="8" s="1"/>
  <c r="S74" i="8"/>
  <c r="K74" i="8"/>
  <c r="E74" i="8"/>
  <c r="R74" i="8" s="1"/>
  <c r="S50" i="8"/>
  <c r="K50" i="8"/>
  <c r="E50" i="8"/>
  <c r="R50" i="8" s="1"/>
  <c r="S65" i="8"/>
  <c r="K65" i="8"/>
  <c r="E65" i="8"/>
  <c r="R65" i="8" s="1"/>
  <c r="S55" i="8"/>
  <c r="K55" i="8"/>
  <c r="E55" i="8"/>
  <c r="R55" i="8" s="1"/>
  <c r="S64" i="8"/>
  <c r="K64" i="8"/>
  <c r="E64" i="8"/>
  <c r="R64" i="8" s="1"/>
  <c r="S52" i="8"/>
  <c r="K52" i="8"/>
  <c r="E52" i="8"/>
  <c r="R52" i="8" s="1"/>
  <c r="S60" i="8"/>
  <c r="K60" i="8"/>
  <c r="E60" i="8"/>
  <c r="R60" i="8" s="1"/>
  <c r="S71" i="8"/>
  <c r="K71" i="8"/>
  <c r="E71" i="8"/>
  <c r="R71" i="8" s="1"/>
  <c r="S67" i="8"/>
  <c r="K67" i="8"/>
  <c r="E67" i="8"/>
  <c r="R67" i="8" s="1"/>
  <c r="S54" i="8"/>
  <c r="K54" i="8"/>
  <c r="E54" i="8"/>
  <c r="R54" i="8" s="1"/>
  <c r="S37" i="8"/>
  <c r="S53" i="8"/>
  <c r="K53" i="8"/>
  <c r="E53" i="8"/>
  <c r="R53" i="8" s="1"/>
  <c r="S36" i="8"/>
  <c r="S61" i="8"/>
  <c r="K61" i="8"/>
  <c r="E61" i="8"/>
  <c r="R61" i="8" s="1"/>
  <c r="S33" i="8"/>
  <c r="S59" i="8"/>
  <c r="K59" i="8"/>
  <c r="E59" i="8"/>
  <c r="R59" i="8" s="1"/>
  <c r="S68" i="8"/>
  <c r="K68" i="8"/>
  <c r="E68" i="8"/>
  <c r="R68" i="8" s="1"/>
  <c r="S27" i="8"/>
  <c r="K27" i="8"/>
  <c r="S30" i="8"/>
  <c r="K30" i="8"/>
  <c r="S29" i="8"/>
  <c r="K29" i="8"/>
  <c r="S28" i="8"/>
  <c r="K28" i="8"/>
  <c r="S41" i="8"/>
  <c r="K41" i="8"/>
  <c r="S22" i="8"/>
  <c r="S46" i="8"/>
  <c r="K46" i="8"/>
  <c r="S24" i="8"/>
  <c r="K24" i="8"/>
  <c r="S25" i="8"/>
  <c r="K25" i="8"/>
  <c r="S42" i="8"/>
  <c r="K42" i="8"/>
  <c r="S23" i="8"/>
  <c r="K23" i="8"/>
  <c r="S43" i="8"/>
  <c r="K43" i="8"/>
  <c r="S35" i="8"/>
  <c r="K35" i="8"/>
  <c r="S39" i="8"/>
  <c r="K39" i="8"/>
  <c r="S45" i="8"/>
  <c r="K45" i="8"/>
  <c r="S44" i="8"/>
  <c r="K44" i="8"/>
  <c r="S31" i="8"/>
  <c r="K31" i="8"/>
  <c r="S32" i="8"/>
  <c r="K32" i="8"/>
  <c r="AB27" i="8"/>
  <c r="C22" i="8"/>
  <c r="E22" i="8"/>
  <c r="AB24" i="8"/>
  <c r="C40" i="1"/>
  <c r="C42" i="1"/>
  <c r="C64" i="1"/>
  <c r="I34" i="1"/>
  <c r="I35" i="1" s="1"/>
  <c r="P56" i="1"/>
  <c r="G56" i="1" s="1"/>
  <c r="P4" i="1"/>
  <c r="K75" i="8" l="1"/>
  <c r="F6" i="3" s="1"/>
  <c r="L10" i="3" s="1"/>
  <c r="L16" i="3" s="1"/>
  <c r="K22" i="8"/>
  <c r="K47" i="8" s="1"/>
  <c r="E6" i="3" s="1"/>
  <c r="I11" i="3" s="1"/>
  <c r="I16" i="3" s="1"/>
  <c r="C23" i="8"/>
  <c r="D46" i="8"/>
  <c r="C46" i="8"/>
  <c r="AB28" i="8"/>
  <c r="D22" i="8"/>
  <c r="R22" i="8"/>
  <c r="AB31" i="8" s="1"/>
  <c r="AB30" i="8"/>
  <c r="C25" i="8"/>
  <c r="D24" i="8"/>
  <c r="E46" i="8"/>
  <c r="R46" i="8" s="1"/>
  <c r="G4" i="1"/>
  <c r="I86" i="1"/>
  <c r="I87" i="1" s="1"/>
  <c r="B30" i="3"/>
  <c r="B16" i="3"/>
  <c r="I74" i="1"/>
  <c r="C51" i="1"/>
  <c r="C52" i="1" s="1"/>
  <c r="C49" i="1"/>
  <c r="C50" i="1" s="1"/>
  <c r="P5" i="1"/>
  <c r="G5" i="1" s="1"/>
  <c r="H4" i="1"/>
  <c r="U4" i="1" s="1"/>
  <c r="H56" i="1"/>
  <c r="S56" i="1" s="1"/>
  <c r="T56" i="1" s="1"/>
  <c r="I36" i="1"/>
  <c r="B48" i="3" l="1"/>
  <c r="E64" i="1"/>
  <c r="E24" i="8"/>
  <c r="R24" i="8" s="1"/>
  <c r="C24" i="8"/>
  <c r="C26" i="8"/>
  <c r="D25" i="8"/>
  <c r="E25" i="8"/>
  <c r="R25" i="8" s="1"/>
  <c r="B31" i="3"/>
  <c r="B17" i="3"/>
  <c r="I71" i="1"/>
  <c r="L56" i="1"/>
  <c r="R56" i="1"/>
  <c r="K56" i="1"/>
  <c r="K4" i="1"/>
  <c r="L4" i="1"/>
  <c r="M4" i="1" s="1"/>
  <c r="P6" i="1"/>
  <c r="G6" i="1" s="1"/>
  <c r="H5" i="1"/>
  <c r="I37" i="1"/>
  <c r="M56" i="1" l="1"/>
  <c r="N56" i="1" s="1"/>
  <c r="C27" i="8"/>
  <c r="D26" i="8"/>
  <c r="E26" i="8"/>
  <c r="R26" i="8" s="1"/>
  <c r="U5" i="1"/>
  <c r="N4" i="1"/>
  <c r="V4" i="1"/>
  <c r="K5" i="1"/>
  <c r="L5" i="1"/>
  <c r="M5" i="1" s="1"/>
  <c r="P7" i="1"/>
  <c r="G7" i="1" s="1"/>
  <c r="H6" i="1"/>
  <c r="I38" i="1"/>
  <c r="C28" i="8" l="1"/>
  <c r="D27" i="8"/>
  <c r="E27" i="8"/>
  <c r="R27" i="8" s="1"/>
  <c r="N5" i="1"/>
  <c r="V5" i="1"/>
  <c r="U6" i="1"/>
  <c r="L6" i="1"/>
  <c r="M6" i="1" s="1"/>
  <c r="K6" i="1"/>
  <c r="P8" i="1"/>
  <c r="G8" i="1" s="1"/>
  <c r="H7" i="1"/>
  <c r="I39" i="1"/>
  <c r="C29" i="8" l="1"/>
  <c r="D28" i="8"/>
  <c r="E28" i="8"/>
  <c r="R28" i="8" s="1"/>
  <c r="K7" i="1"/>
  <c r="U7" i="1"/>
  <c r="N6" i="1"/>
  <c r="V6" i="1"/>
  <c r="L7" i="1"/>
  <c r="M7" i="1" s="1"/>
  <c r="P9" i="1"/>
  <c r="G9" i="1" s="1"/>
  <c r="H8" i="1"/>
  <c r="I40" i="1"/>
  <c r="C30" i="8" l="1"/>
  <c r="D29" i="8"/>
  <c r="E29" i="8"/>
  <c r="R29" i="8" s="1"/>
  <c r="U8" i="1"/>
  <c r="N7" i="1"/>
  <c r="V7" i="1"/>
  <c r="K8" i="1"/>
  <c r="L8" i="1"/>
  <c r="M8" i="1" s="1"/>
  <c r="P10" i="1"/>
  <c r="H9" i="1"/>
  <c r="I41" i="1"/>
  <c r="C31" i="8" l="1"/>
  <c r="D30" i="8"/>
  <c r="E30" i="8"/>
  <c r="R30" i="8" s="1"/>
  <c r="N8" i="1"/>
  <c r="V8" i="1"/>
  <c r="U9" i="1"/>
  <c r="K9" i="1"/>
  <c r="L9" i="1"/>
  <c r="M9" i="1" s="1"/>
  <c r="H10" i="1"/>
  <c r="P11" i="1"/>
  <c r="G10" i="1"/>
  <c r="I42" i="1"/>
  <c r="C32" i="8" l="1"/>
  <c r="D31" i="8"/>
  <c r="E31" i="8"/>
  <c r="R31" i="8" s="1"/>
  <c r="N9" i="1"/>
  <c r="V9" i="1"/>
  <c r="U10" i="1"/>
  <c r="K10" i="1"/>
  <c r="L10" i="1"/>
  <c r="M10" i="1" s="1"/>
  <c r="H11" i="1"/>
  <c r="G11" i="1"/>
  <c r="P12" i="1"/>
  <c r="I43" i="1"/>
  <c r="C33" i="8" l="1"/>
  <c r="D32" i="8"/>
  <c r="E32" i="8"/>
  <c r="R32" i="8" s="1"/>
  <c r="U11" i="1"/>
  <c r="N10" i="1"/>
  <c r="V10" i="1"/>
  <c r="H12" i="1"/>
  <c r="P13" i="1"/>
  <c r="G12" i="1"/>
  <c r="L11" i="1"/>
  <c r="M11" i="1" s="1"/>
  <c r="K11" i="1"/>
  <c r="I44" i="1"/>
  <c r="C34" i="8" l="1"/>
  <c r="D33" i="8"/>
  <c r="E33" i="8"/>
  <c r="R33" i="8" s="1"/>
  <c r="N11" i="1"/>
  <c r="V11" i="1"/>
  <c r="U12" i="1"/>
  <c r="G13" i="1"/>
  <c r="P14" i="1"/>
  <c r="H13" i="1"/>
  <c r="K12" i="1"/>
  <c r="L12" i="1"/>
  <c r="M12" i="1" s="1"/>
  <c r="I45" i="1"/>
  <c r="C35" i="8" l="1"/>
  <c r="D34" i="8"/>
  <c r="E34" i="8"/>
  <c r="R34" i="8" s="1"/>
  <c r="N12" i="1"/>
  <c r="V12" i="1"/>
  <c r="U13" i="1"/>
  <c r="K13" i="1"/>
  <c r="L13" i="1"/>
  <c r="M13" i="1" s="1"/>
  <c r="P15" i="1"/>
  <c r="G14" i="1"/>
  <c r="H14" i="1"/>
  <c r="I46" i="1"/>
  <c r="C36" i="8" l="1"/>
  <c r="D35" i="8"/>
  <c r="E35" i="8"/>
  <c r="R35" i="8" s="1"/>
  <c r="U14" i="1"/>
  <c r="N13" i="1"/>
  <c r="V13" i="1"/>
  <c r="K14" i="1"/>
  <c r="L14" i="1"/>
  <c r="M14" i="1" s="1"/>
  <c r="G15" i="1"/>
  <c r="P16" i="1"/>
  <c r="H15" i="1"/>
  <c r="I47" i="1"/>
  <c r="C37" i="8" l="1"/>
  <c r="D36" i="8"/>
  <c r="E36" i="8"/>
  <c r="R36" i="8" s="1"/>
  <c r="U15" i="1"/>
  <c r="N14" i="1"/>
  <c r="V14" i="1"/>
  <c r="G16" i="1"/>
  <c r="H16" i="1"/>
  <c r="P17" i="1"/>
  <c r="L15" i="1"/>
  <c r="M15" i="1" s="1"/>
  <c r="K15" i="1"/>
  <c r="I48" i="1"/>
  <c r="C38" i="8" l="1"/>
  <c r="D37" i="8"/>
  <c r="E37" i="8"/>
  <c r="R37" i="8" s="1"/>
  <c r="U16" i="1"/>
  <c r="N15" i="1"/>
  <c r="V15" i="1"/>
  <c r="H17" i="1"/>
  <c r="G17" i="1"/>
  <c r="P18" i="1"/>
  <c r="L16" i="1"/>
  <c r="M16" i="1" s="1"/>
  <c r="K16" i="1"/>
  <c r="I49" i="1"/>
  <c r="C39" i="8" l="1"/>
  <c r="D38" i="8"/>
  <c r="E38" i="8"/>
  <c r="R38" i="8" s="1"/>
  <c r="N16" i="1"/>
  <c r="V16" i="1"/>
  <c r="U17" i="1"/>
  <c r="G18" i="1"/>
  <c r="P19" i="1"/>
  <c r="H18" i="1"/>
  <c r="L17" i="1"/>
  <c r="M17" i="1" s="1"/>
  <c r="K17" i="1"/>
  <c r="I50" i="1"/>
  <c r="C40" i="8" l="1"/>
  <c r="D39" i="8"/>
  <c r="E39" i="8"/>
  <c r="R39" i="8" s="1"/>
  <c r="N17" i="1"/>
  <c r="V17" i="1"/>
  <c r="U18" i="1"/>
  <c r="L18" i="1"/>
  <c r="M18" i="1" s="1"/>
  <c r="K18" i="1"/>
  <c r="P20" i="1"/>
  <c r="H19" i="1"/>
  <c r="G19" i="1"/>
  <c r="I51" i="1"/>
  <c r="C41" i="8" l="1"/>
  <c r="D40" i="8"/>
  <c r="E40" i="8"/>
  <c r="R40" i="8" s="1"/>
  <c r="U19" i="1"/>
  <c r="N18" i="1"/>
  <c r="V18" i="1"/>
  <c r="G20" i="1"/>
  <c r="P21" i="1"/>
  <c r="H20" i="1"/>
  <c r="L19" i="1"/>
  <c r="M19" i="1" s="1"/>
  <c r="K19" i="1"/>
  <c r="I52" i="1"/>
  <c r="C42" i="8" l="1"/>
  <c r="D41" i="8"/>
  <c r="E41" i="8"/>
  <c r="R41" i="8" s="1"/>
  <c r="U20" i="1"/>
  <c r="N19" i="1"/>
  <c r="V19" i="1"/>
  <c r="K20" i="1"/>
  <c r="L20" i="1"/>
  <c r="M20" i="1" s="1"/>
  <c r="G21" i="1"/>
  <c r="P22" i="1"/>
  <c r="H21" i="1"/>
  <c r="I53" i="1"/>
  <c r="C43" i="8" l="1"/>
  <c r="D42" i="8"/>
  <c r="E42" i="8"/>
  <c r="R42" i="8" s="1"/>
  <c r="U21" i="1"/>
  <c r="N20" i="1"/>
  <c r="V20" i="1"/>
  <c r="K21" i="1"/>
  <c r="L21" i="1"/>
  <c r="M21" i="1" s="1"/>
  <c r="H22" i="1"/>
  <c r="G22" i="1"/>
  <c r="P23" i="1"/>
  <c r="I54" i="1"/>
  <c r="C44" i="8" l="1"/>
  <c r="D43" i="8"/>
  <c r="E43" i="8"/>
  <c r="R43" i="8" s="1"/>
  <c r="N21" i="1"/>
  <c r="V21" i="1"/>
  <c r="U22" i="1"/>
  <c r="H23" i="1"/>
  <c r="G23" i="1"/>
  <c r="P24" i="1"/>
  <c r="L22" i="1"/>
  <c r="M22" i="1" s="1"/>
  <c r="K22" i="1"/>
  <c r="I55" i="1"/>
  <c r="C45" i="8" l="1"/>
  <c r="D44" i="8"/>
  <c r="E44" i="8"/>
  <c r="R44" i="8" s="1"/>
  <c r="U23" i="1"/>
  <c r="N22" i="1"/>
  <c r="V22" i="1"/>
  <c r="P25" i="1"/>
  <c r="H24" i="1"/>
  <c r="G24" i="1"/>
  <c r="K23" i="1"/>
  <c r="L23" i="1"/>
  <c r="M23" i="1" s="1"/>
  <c r="D45" i="8" l="1"/>
  <c r="E45" i="8"/>
  <c r="R45" i="8" s="1"/>
  <c r="N23" i="1"/>
  <c r="V23" i="1"/>
  <c r="U24" i="1"/>
  <c r="L24" i="1"/>
  <c r="M24" i="1" s="1"/>
  <c r="K24" i="1"/>
  <c r="H25" i="1"/>
  <c r="G25" i="1"/>
  <c r="P26" i="1"/>
  <c r="U25" i="1" l="1"/>
  <c r="N24" i="1"/>
  <c r="V24" i="1"/>
  <c r="L25" i="1"/>
  <c r="M25" i="1" s="1"/>
  <c r="K25" i="1"/>
  <c r="H26" i="1"/>
  <c r="G26" i="1"/>
  <c r="P27" i="1"/>
  <c r="N25" i="1" l="1"/>
  <c r="V25" i="1"/>
  <c r="U26" i="1"/>
  <c r="P28" i="1"/>
  <c r="H27" i="1"/>
  <c r="G27" i="1"/>
  <c r="K26" i="1"/>
  <c r="L26" i="1"/>
  <c r="M26" i="1" s="1"/>
  <c r="N26" i="1" l="1"/>
  <c r="V26" i="1"/>
  <c r="U27" i="1"/>
  <c r="K27" i="1"/>
  <c r="L27" i="1"/>
  <c r="M27" i="1" s="1"/>
  <c r="G28" i="1"/>
  <c r="H28" i="1"/>
  <c r="P32" i="1"/>
  <c r="G32" i="1" s="1"/>
  <c r="N27" i="1" l="1"/>
  <c r="V27" i="1"/>
  <c r="U28" i="1"/>
  <c r="C37" i="1"/>
  <c r="C38" i="1" s="1"/>
  <c r="K28" i="1"/>
  <c r="L28" i="1"/>
  <c r="M28" i="1" s="1"/>
  <c r="P57" i="1"/>
  <c r="P33" i="1" s="1"/>
  <c r="G33" i="1" s="1"/>
  <c r="H32" i="1"/>
  <c r="R32" i="1" s="1"/>
  <c r="E13" i="3" l="1"/>
  <c r="H71" i="1"/>
  <c r="H81" i="1"/>
  <c r="N28" i="1"/>
  <c r="N29" i="1" s="1"/>
  <c r="V28" i="1"/>
  <c r="S32" i="1"/>
  <c r="K32" i="1"/>
  <c r="L32" i="1"/>
  <c r="H33" i="1"/>
  <c r="L33" i="1" s="1"/>
  <c r="P34" i="1"/>
  <c r="G34" i="1" s="1"/>
  <c r="M32" i="1" l="1"/>
  <c r="N32" i="1" s="1"/>
  <c r="M33" i="1"/>
  <c r="N33" i="1" s="1"/>
  <c r="I67" i="1" a="1"/>
  <c r="I67" i="1" s="1"/>
  <c r="I70" i="1" a="1"/>
  <c r="I70" i="1" s="1"/>
  <c r="I77" i="1" s="1"/>
  <c r="O56" i="1"/>
  <c r="O28" i="1"/>
  <c r="S33" i="1"/>
  <c r="T33" i="1" s="1"/>
  <c r="R33" i="1"/>
  <c r="K33" i="1"/>
  <c r="P35" i="1"/>
  <c r="G35" i="1" s="1"/>
  <c r="H34" i="1"/>
  <c r="S34" i="1" s="1"/>
  <c r="T34" i="1" s="1"/>
  <c r="O5" i="1" l="1"/>
  <c r="O33" i="1"/>
  <c r="O4" i="1"/>
  <c r="O32" i="1"/>
  <c r="R34" i="1"/>
  <c r="K34" i="1"/>
  <c r="L34" i="1"/>
  <c r="H35" i="1"/>
  <c r="K35" i="1" s="1"/>
  <c r="P36" i="1"/>
  <c r="G36" i="1" s="1"/>
  <c r="M34" i="1" l="1"/>
  <c r="N34" i="1" s="1"/>
  <c r="S35" i="1"/>
  <c r="T35" i="1" s="1"/>
  <c r="L35" i="1"/>
  <c r="P37" i="1"/>
  <c r="G37" i="1" s="1"/>
  <c r="H36" i="1"/>
  <c r="R36" i="1" s="1"/>
  <c r="R35" i="1"/>
  <c r="O34" i="1" l="1"/>
  <c r="O6" i="1"/>
  <c r="M35" i="1"/>
  <c r="N35" i="1" s="1"/>
  <c r="S36" i="1"/>
  <c r="T36" i="1" s="1"/>
  <c r="K36" i="1"/>
  <c r="H37" i="1"/>
  <c r="R37" i="1" s="1"/>
  <c r="P38" i="1"/>
  <c r="G38" i="1" s="1"/>
  <c r="L36" i="1"/>
  <c r="O35" i="1" l="1"/>
  <c r="O7" i="1"/>
  <c r="M36" i="1"/>
  <c r="N36" i="1" s="1"/>
  <c r="S37" i="1"/>
  <c r="T37" i="1" s="1"/>
  <c r="K37" i="1"/>
  <c r="P39" i="1"/>
  <c r="G39" i="1" s="1"/>
  <c r="H38" i="1"/>
  <c r="S38" i="1" s="1"/>
  <c r="T38" i="1" s="1"/>
  <c r="L37" i="1"/>
  <c r="O8" i="1" l="1"/>
  <c r="O36" i="1"/>
  <c r="M37" i="1"/>
  <c r="N37" i="1" s="1"/>
  <c r="L38" i="1"/>
  <c r="R38" i="1"/>
  <c r="K38" i="1"/>
  <c r="P40" i="1"/>
  <c r="G40" i="1" s="1"/>
  <c r="H39" i="1"/>
  <c r="K39" i="1" s="1"/>
  <c r="O9" i="1" l="1"/>
  <c r="O37" i="1"/>
  <c r="M38" i="1"/>
  <c r="N38" i="1" s="1"/>
  <c r="S39" i="1"/>
  <c r="T39" i="1" s="1"/>
  <c r="L39" i="1"/>
  <c r="R39" i="1"/>
  <c r="H40" i="1"/>
  <c r="K40" i="1" s="1"/>
  <c r="P41" i="1"/>
  <c r="G41" i="1" s="1"/>
  <c r="O10" i="1" l="1"/>
  <c r="O38" i="1"/>
  <c r="M39" i="1"/>
  <c r="N39" i="1" s="1"/>
  <c r="S40" i="1"/>
  <c r="T40" i="1" s="1"/>
  <c r="R40" i="1"/>
  <c r="L40" i="1"/>
  <c r="H41" i="1"/>
  <c r="L41" i="1" s="1"/>
  <c r="P42" i="1"/>
  <c r="G42" i="1" s="1"/>
  <c r="O11" i="1" l="1"/>
  <c r="O39" i="1"/>
  <c r="M41" i="1"/>
  <c r="N41" i="1" s="1"/>
  <c r="M40" i="1"/>
  <c r="N40" i="1" s="1"/>
  <c r="K41" i="1"/>
  <c r="R41" i="1"/>
  <c r="S41" i="1"/>
  <c r="T41" i="1" s="1"/>
  <c r="H42" i="1"/>
  <c r="S42" i="1" s="1"/>
  <c r="T42" i="1" s="1"/>
  <c r="P43" i="1"/>
  <c r="G43" i="1" s="1"/>
  <c r="O12" i="1" l="1"/>
  <c r="O40" i="1"/>
  <c r="O13" i="1"/>
  <c r="O41" i="1"/>
  <c r="K42" i="1"/>
  <c r="R42" i="1"/>
  <c r="L42" i="1"/>
  <c r="H43" i="1"/>
  <c r="K43" i="1" s="1"/>
  <c r="P44" i="1"/>
  <c r="G44" i="1" s="1"/>
  <c r="M42" i="1" l="1"/>
  <c r="N42" i="1" s="1"/>
  <c r="R43" i="1"/>
  <c r="L43" i="1"/>
  <c r="S43" i="1"/>
  <c r="T43" i="1" s="1"/>
  <c r="H44" i="1"/>
  <c r="L44" i="1" s="1"/>
  <c r="P45" i="1"/>
  <c r="G45" i="1" s="1"/>
  <c r="O42" i="1" l="1"/>
  <c r="O14" i="1"/>
  <c r="M44" i="1"/>
  <c r="N44" i="1" s="1"/>
  <c r="M43" i="1"/>
  <c r="N43" i="1" s="1"/>
  <c r="S44" i="1"/>
  <c r="T44" i="1" s="1"/>
  <c r="R44" i="1"/>
  <c r="P46" i="1"/>
  <c r="G46" i="1" s="1"/>
  <c r="H45" i="1"/>
  <c r="L45" i="1" s="1"/>
  <c r="K44" i="1"/>
  <c r="O15" i="1" l="1"/>
  <c r="O43" i="1"/>
  <c r="O16" i="1"/>
  <c r="O44" i="1"/>
  <c r="M45" i="1"/>
  <c r="N45" i="1" s="1"/>
  <c r="S45" i="1"/>
  <c r="T45" i="1" s="1"/>
  <c r="K45" i="1"/>
  <c r="P47" i="1"/>
  <c r="G47" i="1" s="1"/>
  <c r="H46" i="1"/>
  <c r="R46" i="1" s="1"/>
  <c r="R45" i="1"/>
  <c r="O17" i="1" l="1"/>
  <c r="O45" i="1"/>
  <c r="S46" i="1"/>
  <c r="T46" i="1" s="1"/>
  <c r="L46" i="1"/>
  <c r="P48" i="1"/>
  <c r="G48" i="1" s="1"/>
  <c r="H47" i="1"/>
  <c r="S47" i="1" s="1"/>
  <c r="T47" i="1" s="1"/>
  <c r="K46" i="1"/>
  <c r="M46" i="1" l="1"/>
  <c r="N46" i="1" s="1"/>
  <c r="L47" i="1"/>
  <c r="K47" i="1"/>
  <c r="P49" i="1"/>
  <c r="G49" i="1" s="1"/>
  <c r="H48" i="1"/>
  <c r="L48" i="1" s="1"/>
  <c r="R47" i="1"/>
  <c r="O18" i="1" l="1"/>
  <c r="O46" i="1"/>
  <c r="M48" i="1"/>
  <c r="N48" i="1" s="1"/>
  <c r="M47" i="1"/>
  <c r="N47" i="1" s="1"/>
  <c r="S48" i="1"/>
  <c r="T48" i="1" s="1"/>
  <c r="R48" i="1"/>
  <c r="K48" i="1"/>
  <c r="P50" i="1"/>
  <c r="G50" i="1" s="1"/>
  <c r="H49" i="1"/>
  <c r="K49" i="1" s="1"/>
  <c r="O47" i="1" l="1"/>
  <c r="O19" i="1"/>
  <c r="O20" i="1"/>
  <c r="O48" i="1"/>
  <c r="S49" i="1"/>
  <c r="T49" i="1" s="1"/>
  <c r="R49" i="1"/>
  <c r="L49" i="1"/>
  <c r="H50" i="1"/>
  <c r="S50" i="1" s="1"/>
  <c r="T50" i="1" s="1"/>
  <c r="P51" i="1"/>
  <c r="G51" i="1" s="1"/>
  <c r="M49" i="1" l="1"/>
  <c r="N49" i="1" s="1"/>
  <c r="K50" i="1"/>
  <c r="L50" i="1"/>
  <c r="R50" i="1"/>
  <c r="H51" i="1"/>
  <c r="L51" i="1" s="1"/>
  <c r="P52" i="1"/>
  <c r="G52" i="1" s="1"/>
  <c r="O49" i="1" l="1"/>
  <c r="O21" i="1"/>
  <c r="M50" i="1"/>
  <c r="N50" i="1" s="1"/>
  <c r="M51" i="1"/>
  <c r="N51" i="1" s="1"/>
  <c r="S51" i="1"/>
  <c r="T51" i="1" s="1"/>
  <c r="K51" i="1"/>
  <c r="R51" i="1"/>
  <c r="P53" i="1"/>
  <c r="G53" i="1" s="1"/>
  <c r="H52" i="1"/>
  <c r="L52" i="1" s="1"/>
  <c r="O50" i="1" l="1"/>
  <c r="O22" i="1"/>
  <c r="O51" i="1"/>
  <c r="O23" i="1"/>
  <c r="M52" i="1"/>
  <c r="N52" i="1" s="1"/>
  <c r="S52" i="1"/>
  <c r="T52" i="1" s="1"/>
  <c r="K52" i="1"/>
  <c r="R52" i="1"/>
  <c r="H53" i="1"/>
  <c r="R53" i="1" s="1"/>
  <c r="P54" i="1"/>
  <c r="G54" i="1" s="1"/>
  <c r="O52" i="1" l="1"/>
  <c r="O24" i="1"/>
  <c r="S53" i="1"/>
  <c r="T53" i="1" s="1"/>
  <c r="L53" i="1"/>
  <c r="K53" i="1"/>
  <c r="H54" i="1"/>
  <c r="K54" i="1" s="1"/>
  <c r="P55" i="1"/>
  <c r="G55" i="1" s="1"/>
  <c r="M53" i="1" l="1"/>
  <c r="N53" i="1" s="1"/>
  <c r="S54" i="1"/>
  <c r="T54" i="1" s="1"/>
  <c r="H55" i="1"/>
  <c r="K55" i="1" s="1"/>
  <c r="L54" i="1"/>
  <c r="R54" i="1"/>
  <c r="O53" i="1" l="1"/>
  <c r="O25" i="1"/>
  <c r="M54" i="1"/>
  <c r="N54" i="1" s="1"/>
  <c r="S55" i="1"/>
  <c r="T55" i="1" s="1"/>
  <c r="L55" i="1"/>
  <c r="R55" i="1"/>
  <c r="T32" i="1"/>
  <c r="O26" i="1" l="1"/>
  <c r="O54" i="1"/>
  <c r="M55" i="1"/>
  <c r="N55" i="1" s="1"/>
  <c r="N57" i="1"/>
  <c r="I64" i="1" s="1"/>
  <c r="R28" i="1"/>
  <c r="S4" i="1"/>
  <c r="T4" i="1" s="1"/>
  <c r="S28" i="1"/>
  <c r="T28" i="1" s="1"/>
  <c r="R4" i="1"/>
  <c r="I29" i="1"/>
  <c r="I5" i="1" s="1"/>
  <c r="R5" i="1" s="1"/>
  <c r="O27" i="1" l="1"/>
  <c r="O55" i="1"/>
  <c r="H82" i="1"/>
  <c r="H70" i="1"/>
  <c r="N59" i="1"/>
  <c r="S5" i="1"/>
  <c r="T5" i="1" s="1"/>
  <c r="I6" i="1"/>
  <c r="I7" i="1" l="1"/>
  <c r="R6" i="1"/>
  <c r="S6" i="1"/>
  <c r="T6" i="1" s="1"/>
  <c r="I8" i="1" l="1"/>
  <c r="S7" i="1"/>
  <c r="T7" i="1" s="1"/>
  <c r="R7" i="1"/>
  <c r="I9" i="1" l="1"/>
  <c r="R8" i="1"/>
  <c r="S8" i="1"/>
  <c r="T8" i="1" s="1"/>
  <c r="I10" i="1" l="1"/>
  <c r="S9" i="1"/>
  <c r="T9" i="1" s="1"/>
  <c r="R9" i="1"/>
  <c r="I11" i="1" l="1"/>
  <c r="R10" i="1"/>
  <c r="S10" i="1"/>
  <c r="T10" i="1" s="1"/>
  <c r="I12" i="1" l="1"/>
  <c r="S11" i="1"/>
  <c r="T11" i="1" s="1"/>
  <c r="R11" i="1"/>
  <c r="I13" i="1" l="1"/>
  <c r="R12" i="1"/>
  <c r="S12" i="1"/>
  <c r="T12" i="1" s="1"/>
  <c r="I14" i="1" l="1"/>
  <c r="S13" i="1"/>
  <c r="T13" i="1" s="1"/>
  <c r="R13" i="1"/>
  <c r="I15" i="1" l="1"/>
  <c r="R14" i="1"/>
  <c r="S14" i="1"/>
  <c r="T14" i="1" s="1"/>
  <c r="I16" i="1" l="1"/>
  <c r="R15" i="1"/>
  <c r="S15" i="1"/>
  <c r="T15" i="1" s="1"/>
  <c r="I17" i="1" l="1"/>
  <c r="R16" i="1"/>
  <c r="S16" i="1"/>
  <c r="T16" i="1" s="1"/>
  <c r="I18" i="1" l="1"/>
  <c r="S17" i="1"/>
  <c r="T17" i="1" s="1"/>
  <c r="R17" i="1"/>
  <c r="I19" i="1" l="1"/>
  <c r="S18" i="1"/>
  <c r="T18" i="1" s="1"/>
  <c r="R18" i="1"/>
  <c r="I20" i="1" l="1"/>
  <c r="S19" i="1"/>
  <c r="T19" i="1" s="1"/>
  <c r="R19" i="1"/>
  <c r="I21" i="1" l="1"/>
  <c r="R20" i="1"/>
  <c r="S20" i="1"/>
  <c r="T20" i="1" s="1"/>
  <c r="I22" i="1" l="1"/>
  <c r="S21" i="1"/>
  <c r="T21" i="1" s="1"/>
  <c r="R21" i="1"/>
  <c r="I23" i="1" l="1"/>
  <c r="S22" i="1"/>
  <c r="T22" i="1" s="1"/>
  <c r="R22" i="1"/>
  <c r="I24" i="1" l="1"/>
  <c r="R23" i="1"/>
  <c r="S23" i="1"/>
  <c r="T23" i="1" s="1"/>
  <c r="I25" i="1" l="1"/>
  <c r="R24" i="1"/>
  <c r="S24" i="1"/>
  <c r="T24" i="1" s="1"/>
  <c r="I26" i="1" l="1"/>
  <c r="S25" i="1"/>
  <c r="T25" i="1" s="1"/>
  <c r="R25" i="1"/>
  <c r="I27" i="1" l="1"/>
  <c r="R26" i="1"/>
  <c r="S26" i="1"/>
  <c r="T26" i="1" s="1"/>
  <c r="R27" i="1" l="1"/>
  <c r="S27" i="1"/>
  <c r="T27" i="1" s="1"/>
  <c r="I63" i="1"/>
  <c r="H83" i="1" s="1"/>
  <c r="H87" i="1" s="1"/>
  <c r="J87" i="1" s="1"/>
  <c r="H75" i="1" l="1"/>
  <c r="H77" i="1" s="1"/>
  <c r="J77" i="1" s="1"/>
  <c r="D23" i="8"/>
  <c r="E23" i="8"/>
  <c r="R23" i="8" s="1"/>
  <c r="B23" i="8"/>
  <c r="E14" i="3" l="1"/>
  <c r="F14" i="3"/>
  <c r="G14" i="3" l="1"/>
  <c r="F13" i="3"/>
  <c r="G13" i="3" s="1"/>
  <c r="B44" i="3"/>
  <c r="E5" i="3"/>
  <c r="F5" i="3"/>
  <c r="G5" i="3"/>
  <c r="L9" i="3"/>
  <c r="M9" i="3"/>
  <c r="E10" i="3"/>
  <c r="F10" i="3"/>
  <c r="G10" i="3"/>
  <c r="I10" i="3"/>
  <c r="G11" i="3"/>
  <c r="L13" i="3"/>
  <c r="I14" i="3"/>
  <c r="E19" i="3"/>
  <c r="G19" i="3"/>
  <c r="I21" i="3"/>
  <c r="I23" i="3"/>
  <c r="L23" i="3"/>
  <c r="E25" i="3"/>
  <c r="G25" i="3"/>
  <c r="F26" i="3"/>
  <c r="E34" i="3"/>
  <c r="B49" i="3"/>
  <c r="B50" i="3"/>
  <c r="E12" i="8"/>
  <c r="F22" i="8"/>
  <c r="G22" i="8"/>
  <c r="H22" i="8"/>
  <c r="J22" i="8"/>
  <c r="V22" i="8"/>
  <c r="W22" i="8"/>
  <c r="X22" i="8"/>
  <c r="F23" i="8"/>
  <c r="G23" i="8"/>
  <c r="H23" i="8"/>
  <c r="J23" i="8"/>
  <c r="V23" i="8"/>
  <c r="W23" i="8"/>
  <c r="X23" i="8"/>
  <c r="F24" i="8"/>
  <c r="G24" i="8"/>
  <c r="H24" i="8"/>
  <c r="J24" i="8"/>
  <c r="V24" i="8"/>
  <c r="W24" i="8"/>
  <c r="X24" i="8"/>
  <c r="F25" i="8"/>
  <c r="G25" i="8"/>
  <c r="H25" i="8"/>
  <c r="J25" i="8"/>
  <c r="V25" i="8"/>
  <c r="W25" i="8"/>
  <c r="X25" i="8"/>
  <c r="F26" i="8"/>
  <c r="G26" i="8"/>
  <c r="H26" i="8"/>
  <c r="J26" i="8"/>
  <c r="V26" i="8"/>
  <c r="W26" i="8"/>
  <c r="X26" i="8"/>
  <c r="F27" i="8"/>
  <c r="G27" i="8"/>
  <c r="H27" i="8"/>
  <c r="J27" i="8"/>
  <c r="V27" i="8"/>
  <c r="W27" i="8"/>
  <c r="X27" i="8"/>
  <c r="F28" i="8"/>
  <c r="G28" i="8"/>
  <c r="H28" i="8"/>
  <c r="J28" i="8"/>
  <c r="V28" i="8"/>
  <c r="W28" i="8"/>
  <c r="X28" i="8"/>
  <c r="F29" i="8"/>
  <c r="G29" i="8"/>
  <c r="H29" i="8"/>
  <c r="J29" i="8"/>
  <c r="V29" i="8"/>
  <c r="W29" i="8"/>
  <c r="X29" i="8"/>
  <c r="F30" i="8"/>
  <c r="G30" i="8"/>
  <c r="H30" i="8"/>
  <c r="J30" i="8"/>
  <c r="V30" i="8"/>
  <c r="W30" i="8"/>
  <c r="X30" i="8"/>
  <c r="F31" i="8"/>
  <c r="G31" i="8"/>
  <c r="H31" i="8"/>
  <c r="J31" i="8"/>
  <c r="V31" i="8"/>
  <c r="W31" i="8"/>
  <c r="X31" i="8"/>
  <c r="F32" i="8"/>
  <c r="G32" i="8"/>
  <c r="H32" i="8"/>
  <c r="J32" i="8"/>
  <c r="V32" i="8"/>
  <c r="W32" i="8"/>
  <c r="X32" i="8"/>
  <c r="AB32" i="8"/>
  <c r="F33" i="8"/>
  <c r="G33" i="8"/>
  <c r="H33" i="8"/>
  <c r="J33" i="8"/>
  <c r="V33" i="8"/>
  <c r="W33" i="8"/>
  <c r="X33" i="8"/>
  <c r="AB33" i="8"/>
  <c r="F34" i="8"/>
  <c r="G34" i="8"/>
  <c r="H34" i="8"/>
  <c r="J34" i="8"/>
  <c r="V34" i="8"/>
  <c r="W34" i="8"/>
  <c r="X34" i="8"/>
  <c r="F35" i="8"/>
  <c r="G35" i="8"/>
  <c r="H35" i="8"/>
  <c r="J35" i="8"/>
  <c r="V35" i="8"/>
  <c r="W35" i="8"/>
  <c r="X35" i="8"/>
  <c r="F36" i="8"/>
  <c r="G36" i="8"/>
  <c r="H36" i="8"/>
  <c r="J36" i="8"/>
  <c r="V36" i="8"/>
  <c r="W36" i="8"/>
  <c r="X36" i="8"/>
  <c r="F37" i="8"/>
  <c r="G37" i="8"/>
  <c r="H37" i="8"/>
  <c r="J37" i="8"/>
  <c r="V37" i="8"/>
  <c r="W37" i="8"/>
  <c r="X37" i="8"/>
  <c r="AB37" i="8"/>
  <c r="F38" i="8"/>
  <c r="G38" i="8"/>
  <c r="H38" i="8"/>
  <c r="J38" i="8"/>
  <c r="V38" i="8"/>
  <c r="W38" i="8"/>
  <c r="X38" i="8"/>
  <c r="F39" i="8"/>
  <c r="G39" i="8"/>
  <c r="H39" i="8"/>
  <c r="J39" i="8"/>
  <c r="V39" i="8"/>
  <c r="W39" i="8"/>
  <c r="X39" i="8"/>
  <c r="AB39" i="8"/>
  <c r="F40" i="8"/>
  <c r="G40" i="8"/>
  <c r="H40" i="8"/>
  <c r="J40" i="8"/>
  <c r="V40" i="8"/>
  <c r="W40" i="8"/>
  <c r="X40" i="8"/>
  <c r="F41" i="8"/>
  <c r="G41" i="8"/>
  <c r="H41" i="8"/>
  <c r="J41" i="8"/>
  <c r="V41" i="8"/>
  <c r="W41" i="8"/>
  <c r="X41" i="8"/>
  <c r="F42" i="8"/>
  <c r="G42" i="8"/>
  <c r="H42" i="8"/>
  <c r="J42" i="8"/>
  <c r="V42" i="8"/>
  <c r="W42" i="8"/>
  <c r="X42" i="8"/>
  <c r="F43" i="8"/>
  <c r="G43" i="8"/>
  <c r="H43" i="8"/>
  <c r="J43" i="8"/>
  <c r="V43" i="8"/>
  <c r="W43" i="8"/>
  <c r="X43" i="8"/>
  <c r="F44" i="8"/>
  <c r="G44" i="8"/>
  <c r="H44" i="8"/>
  <c r="J44" i="8"/>
  <c r="V44" i="8"/>
  <c r="W44" i="8"/>
  <c r="X44" i="8"/>
  <c r="F45" i="8"/>
  <c r="G45" i="8"/>
  <c r="H45" i="8"/>
  <c r="J45" i="8"/>
  <c r="V45" i="8"/>
  <c r="W45" i="8"/>
  <c r="X45" i="8"/>
  <c r="F46" i="8"/>
  <c r="G46" i="8"/>
  <c r="H46" i="8"/>
  <c r="J46" i="8"/>
  <c r="V46" i="8"/>
  <c r="W46" i="8"/>
  <c r="X46" i="8"/>
  <c r="J47" i="8"/>
  <c r="F50" i="8"/>
  <c r="G50" i="8"/>
  <c r="H50" i="8"/>
  <c r="J50" i="8"/>
  <c r="V50" i="8"/>
  <c r="W50" i="8"/>
  <c r="X50" i="8"/>
  <c r="F51" i="8"/>
  <c r="G51" i="8"/>
  <c r="H51" i="8"/>
  <c r="J51" i="8"/>
  <c r="V51" i="8"/>
  <c r="W51" i="8"/>
  <c r="X51" i="8"/>
  <c r="F52" i="8"/>
  <c r="G52" i="8"/>
  <c r="H52" i="8"/>
  <c r="J52" i="8"/>
  <c r="V52" i="8"/>
  <c r="W52" i="8"/>
  <c r="X52" i="8"/>
  <c r="F53" i="8"/>
  <c r="G53" i="8"/>
  <c r="H53" i="8"/>
  <c r="J53" i="8"/>
  <c r="V53" i="8"/>
  <c r="W53" i="8"/>
  <c r="X53" i="8"/>
  <c r="F54" i="8"/>
  <c r="G54" i="8"/>
  <c r="H54" i="8"/>
  <c r="J54" i="8"/>
  <c r="V54" i="8"/>
  <c r="W54" i="8"/>
  <c r="X54" i="8"/>
  <c r="F55" i="8"/>
  <c r="G55" i="8"/>
  <c r="H55" i="8"/>
  <c r="J55" i="8"/>
  <c r="V55" i="8"/>
  <c r="W55" i="8"/>
  <c r="X55" i="8"/>
  <c r="F56" i="8"/>
  <c r="G56" i="8"/>
  <c r="H56" i="8"/>
  <c r="J56" i="8"/>
  <c r="V56" i="8"/>
  <c r="W56" i="8"/>
  <c r="X56" i="8"/>
  <c r="F57" i="8"/>
  <c r="G57" i="8"/>
  <c r="H57" i="8"/>
  <c r="J57" i="8"/>
  <c r="V57" i="8"/>
  <c r="W57" i="8"/>
  <c r="X57" i="8"/>
  <c r="F58" i="8"/>
  <c r="G58" i="8"/>
  <c r="H58" i="8"/>
  <c r="J58" i="8"/>
  <c r="V58" i="8"/>
  <c r="W58" i="8"/>
  <c r="X58" i="8"/>
  <c r="F59" i="8"/>
  <c r="G59" i="8"/>
  <c r="H59" i="8"/>
  <c r="J59" i="8"/>
  <c r="V59" i="8"/>
  <c r="W59" i="8"/>
  <c r="X59" i="8"/>
  <c r="F60" i="8"/>
  <c r="G60" i="8"/>
  <c r="H60" i="8"/>
  <c r="J60" i="8"/>
  <c r="V60" i="8"/>
  <c r="W60" i="8"/>
  <c r="X60" i="8"/>
  <c r="F61" i="8"/>
  <c r="G61" i="8"/>
  <c r="H61" i="8"/>
  <c r="J61" i="8"/>
  <c r="V61" i="8"/>
  <c r="W61" i="8"/>
  <c r="X61" i="8"/>
  <c r="F62" i="8"/>
  <c r="G62" i="8"/>
  <c r="H62" i="8"/>
  <c r="J62" i="8"/>
  <c r="V62" i="8"/>
  <c r="W62" i="8"/>
  <c r="X62" i="8"/>
  <c r="F63" i="8"/>
  <c r="G63" i="8"/>
  <c r="H63" i="8"/>
  <c r="J63" i="8"/>
  <c r="V63" i="8"/>
  <c r="W63" i="8"/>
  <c r="X63" i="8"/>
  <c r="F64" i="8"/>
  <c r="G64" i="8"/>
  <c r="H64" i="8"/>
  <c r="J64" i="8"/>
  <c r="V64" i="8"/>
  <c r="W64" i="8"/>
  <c r="X64" i="8"/>
  <c r="F65" i="8"/>
  <c r="G65" i="8"/>
  <c r="H65" i="8"/>
  <c r="J65" i="8"/>
  <c r="V65" i="8"/>
  <c r="W65" i="8"/>
  <c r="X65" i="8"/>
  <c r="F66" i="8"/>
  <c r="G66" i="8"/>
  <c r="H66" i="8"/>
  <c r="J66" i="8"/>
  <c r="V66" i="8"/>
  <c r="W66" i="8"/>
  <c r="X66" i="8"/>
  <c r="F67" i="8"/>
  <c r="G67" i="8"/>
  <c r="H67" i="8"/>
  <c r="J67" i="8"/>
  <c r="V67" i="8"/>
  <c r="W67" i="8"/>
  <c r="X67" i="8"/>
  <c r="F68" i="8"/>
  <c r="G68" i="8"/>
  <c r="H68" i="8"/>
  <c r="J68" i="8"/>
  <c r="V68" i="8"/>
  <c r="W68" i="8"/>
  <c r="X68" i="8"/>
  <c r="F69" i="8"/>
  <c r="G69" i="8"/>
  <c r="H69" i="8"/>
  <c r="J69" i="8"/>
  <c r="V69" i="8"/>
  <c r="W69" i="8"/>
  <c r="X69" i="8"/>
  <c r="F70" i="8"/>
  <c r="G70" i="8"/>
  <c r="H70" i="8"/>
  <c r="J70" i="8"/>
  <c r="V70" i="8"/>
  <c r="W70" i="8"/>
  <c r="X70" i="8"/>
  <c r="F71" i="8"/>
  <c r="G71" i="8"/>
  <c r="H71" i="8"/>
  <c r="J71" i="8"/>
  <c r="V71" i="8"/>
  <c r="W71" i="8"/>
  <c r="X71" i="8"/>
  <c r="F72" i="8"/>
  <c r="G72" i="8"/>
  <c r="H72" i="8"/>
  <c r="J72" i="8"/>
  <c r="V72" i="8"/>
  <c r="W72" i="8"/>
  <c r="X72" i="8"/>
  <c r="F73" i="8"/>
  <c r="G73" i="8"/>
  <c r="H73" i="8"/>
  <c r="J73" i="8"/>
  <c r="V73" i="8"/>
  <c r="W73" i="8"/>
  <c r="X73" i="8"/>
  <c r="F74" i="8"/>
  <c r="G74" i="8"/>
  <c r="H74" i="8"/>
  <c r="J74" i="8"/>
  <c r="V74" i="8"/>
  <c r="W74" i="8"/>
  <c r="X74" i="8"/>
  <c r="J7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Mella</author>
  </authors>
  <commentList>
    <comment ref="I7" authorId="0" shapeId="0" xr:uid="{E9C8976B-D147-7846-A079-52DFF3AD26B5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capital cost determination relies on unit costs
</t>
        </r>
        <r>
          <rPr>
            <sz val="10"/>
            <color rgb="FF000000"/>
            <rFont val="Tahoma"/>
            <family val="2"/>
          </rPr>
          <t>of US$ 2/kg for steel pipe and US$ 125/m for FBE coating.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Mella</author>
  </authors>
  <commentList>
    <comment ref="C7" authorId="0" shapeId="0" xr:uid="{DA61D0A2-F7F1-AB40-A744-FBFCDC9838E8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i/>
            <sz val="10"/>
            <color rgb="FF000000"/>
            <rFont val="Aptos Narrow"/>
          </rPr>
          <t>The capital cost determination relies on unit costs</t>
        </r>
        <r>
          <rPr>
            <sz val="10"/>
            <color rgb="FF000000"/>
            <rFont val="Aptos Narrow"/>
          </rPr>
          <t xml:space="preserve">
</t>
        </r>
        <r>
          <rPr>
            <i/>
            <sz val="10"/>
            <color rgb="FF000000"/>
            <rFont val="Aptos Narrow"/>
          </rPr>
          <t>of US$ 2/kg for steel pipe and US$ 125/m for FBE coating</t>
        </r>
        <r>
          <rPr>
            <sz val="10"/>
            <color rgb="FF000000"/>
            <rFont val="Aptos Narrow"/>
          </rPr>
          <t xml:space="preserve">
</t>
        </r>
      </text>
    </comment>
    <comment ref="E61" authorId="0" shapeId="0" xr:uid="{6EEFD676-AB9F-9048-9B14-440C23B22439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capital cost determination relies on unit costs
</t>
        </r>
        <r>
          <rPr>
            <sz val="10"/>
            <color rgb="FF000000"/>
            <rFont val="Tahoma"/>
            <family val="2"/>
          </rPr>
          <t>of US$ 2/kg for steel pipe and US$ 125/m for FBE coating.</t>
        </r>
      </text>
    </comment>
    <comment ref="B89" authorId="0" shapeId="0" xr:uid="{EDD55E71-FF31-AB47-8FF2-AEC0E553D809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As a guideline, a
</t>
        </r>
        <r>
          <rPr>
            <sz val="10"/>
            <color rgb="FF000000"/>
            <rFont val="Tahoma"/>
            <family val="2"/>
          </rPr>
          <t>reduction of the carbon steel corrosion rate to less than 0.09 mm/yr is achievable at an m3 incremental cost of approximately US$ 0.05 per of water treated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<sst xmlns="http://schemas.openxmlformats.org/spreadsheetml/2006/main" count="721" uniqueCount="424">
  <si>
    <t>FBE Coated Case</t>
  </si>
  <si>
    <t>Pipeline lenght</t>
  </si>
  <si>
    <t>km</t>
  </si>
  <si>
    <t>Year</t>
  </si>
  <si>
    <t>Inner diameter</t>
  </si>
  <si>
    <t>Flow vel</t>
  </si>
  <si>
    <t>Roughness factor</t>
  </si>
  <si>
    <t>Solve for f</t>
  </si>
  <si>
    <t>Friction Factor</t>
  </si>
  <si>
    <t>f with Colebrook-White Equation</t>
  </si>
  <si>
    <t>Friction Head Loss</t>
  </si>
  <si>
    <t>Pump Total Power</t>
  </si>
  <si>
    <t>OPEX</t>
  </si>
  <si>
    <t>Inner Diameter</t>
  </si>
  <si>
    <t>m</t>
  </si>
  <si>
    <t>Design flow rate</t>
  </si>
  <si>
    <t>L/s</t>
  </si>
  <si>
    <t>Electrical energy cost</t>
  </si>
  <si>
    <t>m³/s</t>
  </si>
  <si>
    <t>m³/h</t>
  </si>
  <si>
    <t>Static Head (elevation change)</t>
  </si>
  <si>
    <t>Density of water</t>
  </si>
  <si>
    <t>kg/m³</t>
  </si>
  <si>
    <t>Pipeline Outside diameter</t>
  </si>
  <si>
    <t>inches</t>
  </si>
  <si>
    <t>Dynamic Viscosity of water</t>
  </si>
  <si>
    <t>cP</t>
  </si>
  <si>
    <t>mm</t>
  </si>
  <si>
    <t>Kinematic viscosity of water</t>
  </si>
  <si>
    <t>m²/s</t>
  </si>
  <si>
    <t>years</t>
  </si>
  <si>
    <t>Annual hours of pump operation</t>
  </si>
  <si>
    <t>h/yr</t>
  </si>
  <si>
    <t>Gravitational acceleration</t>
  </si>
  <si>
    <t>m/s²</t>
  </si>
  <si>
    <t>Pipe segment length</t>
  </si>
  <si>
    <t>Pump efficiency</t>
  </si>
  <si>
    <t>Wall thickness corrosion rate</t>
  </si>
  <si>
    <t>mm/yr</t>
  </si>
  <si>
    <t>Difference</t>
  </si>
  <si>
    <t>Wall thickness. No corrosion.</t>
  </si>
  <si>
    <t>Bare</t>
  </si>
  <si>
    <t>FBE</t>
  </si>
  <si>
    <t>Units</t>
  </si>
  <si>
    <t>Small ID &amp; Roughness Extra Energy</t>
  </si>
  <si>
    <t>MUS$/yr</t>
  </si>
  <si>
    <t>Corrosion Inhibitors</t>
  </si>
  <si>
    <t>Annual expenses</t>
  </si>
  <si>
    <t>CAPEX</t>
  </si>
  <si>
    <t>Present  value annual expenses</t>
  </si>
  <si>
    <t>MUS$</t>
  </si>
  <si>
    <t>$/L/s</t>
  </si>
  <si>
    <t>FBE repair robot</t>
  </si>
  <si>
    <t>PASIVAN 550</t>
  </si>
  <si>
    <t>Corrosion inhibitor through passivation</t>
  </si>
  <si>
    <t>Extra Steel</t>
  </si>
  <si>
    <t>BC 130</t>
  </si>
  <si>
    <t>Deoxygenation Agents</t>
  </si>
  <si>
    <t>FBE inner coating</t>
  </si>
  <si>
    <t>Servicio de aplicación y control</t>
  </si>
  <si>
    <t>Biocide</t>
  </si>
  <si>
    <t>Total</t>
  </si>
  <si>
    <t>pH Adjusters</t>
  </si>
  <si>
    <t>Bare Pipe Case</t>
  </si>
  <si>
    <t>Energy Cost</t>
  </si>
  <si>
    <t>Inner
diameter</t>
  </si>
  <si>
    <t>f with
CBrook-W</t>
  </si>
  <si>
    <t>Application and QA service</t>
  </si>
  <si>
    <t>CAPEX · Cost of Steel · Bare Pipe</t>
  </si>
  <si>
    <t>kg/m</t>
  </si>
  <si>
    <t>Pipeline length</t>
  </si>
  <si>
    <t>%</t>
  </si>
  <si>
    <t>Roughness factor for FBE Inner Coated pipe year 1</t>
  </si>
  <si>
    <t>Roughness factor for FBE Inner Coated pipe year 25</t>
  </si>
  <si>
    <t>Roughness factor Bare Pipe year 1</t>
  </si>
  <si>
    <t>Roughness factor Bare Pipe year 25</t>
  </si>
  <si>
    <t>Unit</t>
  </si>
  <si>
    <t>Variable Name</t>
  </si>
  <si>
    <t>Value</t>
  </si>
  <si>
    <t>W total bare pipe</t>
  </si>
  <si>
    <t>t</t>
  </si>
  <si>
    <t>m/s</t>
  </si>
  <si>
    <t>Velocidad Máxima de Operación Drenajes de Emergencia</t>
  </si>
  <si>
    <t>Velocidad Máxima de Operación Estaciones de Bombeo</t>
  </si>
  <si>
    <t>Rugosidad Absoluta Revestimiento Interior FBE</t>
  </si>
  <si>
    <t>Caudal Mínimo de operación</t>
  </si>
  <si>
    <t>Caudal de Diseño</t>
  </si>
  <si>
    <t>Viscosidad Dinámica Fluido</t>
  </si>
  <si>
    <t>Densidad Fluido</t>
  </si>
  <si>
    <t>°C</t>
  </si>
  <si>
    <t>Temperatura Fluido</t>
  </si>
  <si>
    <t>Valor</t>
  </si>
  <si>
    <t>Unidad</t>
  </si>
  <si>
    <t>Parámetro</t>
  </si>
  <si>
    <t>Túnel Coirón 28"</t>
  </si>
  <si>
    <t>Tunel La Guardia 28"</t>
  </si>
  <si>
    <t>Tunel Las Ánimas II 28"</t>
  </si>
  <si>
    <t>Descarga Bombas 14" EB3</t>
  </si>
  <si>
    <t>Manifold 28" EB3</t>
  </si>
  <si>
    <t>Máxima Presión Transiente (kPa(g))</t>
  </si>
  <si>
    <t>Fuerza Máxima (kgf)</t>
  </si>
  <si>
    <t>Elevación (msnm)</t>
  </si>
  <si>
    <t>Ubicación Longitudinal (km)</t>
  </si>
  <si>
    <t>max pressure</t>
  </si>
  <si>
    <t>Instalación</t>
  </si>
  <si>
    <t>Puente Río Choapa</t>
  </si>
  <si>
    <t>Puente Cruce Tranquilla</t>
  </si>
  <si>
    <t>Puente Estero Camisas</t>
  </si>
  <si>
    <t>Túnel Coirón</t>
  </si>
  <si>
    <t>Túnel La Guardia</t>
  </si>
  <si>
    <t>Túnel Las Ánimas</t>
  </si>
  <si>
    <t>Presión Operacional (kPa(g))</t>
  </si>
  <si>
    <t>psi</t>
  </si>
  <si>
    <t>$ Total Steel</t>
  </si>
  <si>
    <t>$/t</t>
  </si>
  <si>
    <t>MM</t>
  </si>
  <si>
    <t>CAPEX · Cost of Steel · FBE coated Pipe</t>
  </si>
  <si>
    <t>W total FBE coated pipe</t>
  </si>
  <si>
    <t>Insider Diameter (ID) of bare pipe Year 1</t>
  </si>
  <si>
    <t>Insider Diameter (ID) of FBE coated</t>
  </si>
  <si>
    <t>W per m bare</t>
  </si>
  <si>
    <t>W per m FBE coated</t>
  </si>
  <si>
    <t>Dosage upfront investment</t>
  </si>
  <si>
    <t>m³/day</t>
  </si>
  <si>
    <t>Dosing Plant Cost</t>
  </si>
  <si>
    <t>Cost Component</t>
  </si>
  <si>
    <t>Cost per m²</t>
  </si>
  <si>
    <t>FBE Powder Material</t>
  </si>
  <si>
    <t>Application Costs</t>
  </si>
  <si>
    <t>Transportation Costs</t>
  </si>
  <si>
    <t>Quality Control &amp; Testing</t>
  </si>
  <si>
    <t>Miscellaneous (Overheads)</t>
  </si>
  <si>
    <t>m²</t>
  </si>
  <si>
    <t>FBE\ inner\ coating capex</t>
  </si>
  <si>
    <t xml:space="preserve">Cost Component                    </t>
  </si>
  <si>
    <t>Cost per Joint</t>
  </si>
  <si>
    <t xml:space="preserve">Mobilization of Crew &amp; Equipment   </t>
  </si>
  <si>
    <t xml:space="preserve">Demobilization of Crew &amp; Equipment </t>
  </si>
  <si>
    <t xml:space="preserve">Personnel &amp; Robotic Equipment      </t>
  </si>
  <si>
    <t xml:space="preserve">Pre-blasting Personnel &amp; Equipment </t>
  </si>
  <si>
    <t xml:space="preserve">Internal Coating Application       </t>
  </si>
  <si>
    <t xml:space="preserve">Pipe-End Pre-blasting              </t>
  </si>
  <si>
    <t xml:space="preserve">Total Cost per Joint               </t>
  </si>
  <si>
    <t>Total number of joints</t>
  </si>
  <si>
    <t>P freight</t>
  </si>
  <si>
    <t>P X70</t>
  </si>
  <si>
    <t>P raw</t>
  </si>
  <si>
    <t>P total</t>
  </si>
  <si>
    <t>Cost item</t>
  </si>
  <si>
    <t>Monthly cost per L/s</t>
  </si>
  <si>
    <t>MFL testing</t>
  </si>
  <si>
    <t>$/km</t>
  </si>
  <si>
    <t>65% reduction in OPEX compared to uncoated pipes</t>
  </si>
  <si>
    <t>Insider Diameter (ID) of FBE Year 25</t>
  </si>
  <si>
    <t>Error</t>
  </si>
  <si>
    <t>Bare-FBE Diff</t>
  </si>
  <si>
    <t>Calculated Error</t>
  </si>
  <si>
    <t>Reynolds Num</t>
  </si>
  <si>
    <t>Flow Velocity</t>
  </si>
  <si>
    <t>Bare Pipe</t>
  </si>
  <si>
    <t>FBE Coated Pipe</t>
  </si>
  <si>
    <t>Extra Energy</t>
  </si>
  <si>
    <t>Bare pipe</t>
  </si>
  <si>
    <t>FBE coated pipe</t>
  </si>
  <si>
    <t>Case</t>
  </si>
  <si>
    <t>FBE Inner Coating</t>
  </si>
  <si>
    <t>Energy</t>
  </si>
  <si>
    <t>Inhibitors</t>
  </si>
  <si>
    <t>Inspections</t>
  </si>
  <si>
    <t>Steel</t>
  </si>
  <si>
    <t>Coating</t>
  </si>
  <si>
    <t>Robotic coating</t>
  </si>
  <si>
    <t>Pumping Energy</t>
  </si>
  <si>
    <t xml:space="preserve"> internal field joint coating service</t>
  </si>
  <si>
    <t>Corrosion Inhibitor Yearly cost</t>
  </si>
  <si>
    <t>Precio unitario </t>
  </si>
  <si>
    <t>Valor mensual </t>
  </si>
  <si>
    <t>PASIVAN 550 </t>
  </si>
  <si>
    <t>Servicio de aplicación y control </t>
  </si>
  <si>
    <t>1 </t>
  </si>
  <si>
    <t>Consumo mes</t>
  </si>
  <si>
    <t xml:space="preserve">SQM Aguasin quote 400 L/s </t>
  </si>
  <si>
    <t>BC 130</t>
  </si>
  <si>
    <t>$/mes/L</t>
  </si>
  <si>
    <t>Planta Dosificadora mensual</t>
  </si>
  <si>
    <t>CAPEX Planta dosificadora PV</t>
  </si>
  <si>
    <t>Dosing Plant</t>
  </si>
  <si>
    <t>PV</t>
  </si>
  <si>
    <t>PV OPEX</t>
  </si>
  <si>
    <t>Item</t>
  </si>
  <si>
    <t xml:space="preserve"> </t>
  </si>
  <si>
    <t xml:space="preserve"> Inhibitors</t>
  </si>
  <si>
    <t xml:space="preserve"> Inspections</t>
  </si>
  <si>
    <t>Annual discount Rate</t>
  </si>
  <si>
    <t>Inner surface area FBE</t>
  </si>
  <si>
    <t>FBE in Shop according to Sherwin-Williams Company</t>
  </si>
  <si>
    <t>Encalada paper</t>
  </si>
  <si>
    <t>$/m2</t>
  </si>
  <si>
    <t>Pipeline Service life</t>
  </si>
  <si>
    <t>Pipeline Design flow rate</t>
  </si>
  <si>
    <t>Interior FBE thickness</t>
  </si>
  <si>
    <t>FBE repair robot service cost per joint</t>
  </si>
  <si>
    <t>Steel pipe composition</t>
  </si>
  <si>
    <t>Steel plates</t>
  </si>
  <si>
    <t>Manufacturing</t>
  </si>
  <si>
    <t>Transportation</t>
  </si>
  <si>
    <t>Pipeline FBE coating related to the total pipeline cost</t>
  </si>
  <si>
    <t>FBE shop interior coating</t>
  </si>
  <si>
    <t>Pipeline steel cost</t>
  </si>
  <si>
    <t>Internal Field Joint Coating</t>
  </si>
  <si>
    <t>FBE shop interior coating cost</t>
  </si>
  <si>
    <t>Internal Robotic Field Joint Coating compared to other pipeline costs.</t>
  </si>
  <si>
    <t>Cost per m3</t>
  </si>
  <si>
    <t>bare pipe (corrosion allowance) yearly cost per km</t>
  </si>
  <si>
    <t>$/km per year</t>
  </si>
  <si>
    <t>internally FBE coated pipe yearly cost per km</t>
  </si>
  <si>
    <t>bare pipe (corrosion allowance) anual OPEX</t>
  </si>
  <si>
    <t>internally FBE coated pipe anual OPEX</t>
  </si>
  <si>
    <t>Velocidad Diseño</t>
  </si>
  <si>
    <t>Pa s</t>
  </si>
  <si>
    <t>Wall thickness
[m]</t>
  </si>
  <si>
    <t>Head
Loss
[ m ]</t>
  </si>
  <si>
    <t>Yr</t>
  </si>
  <si>
    <t>Pipe
roughness
[m]</t>
  </si>
  <si>
    <t>Pipe
roughness
[ mm ]</t>
  </si>
  <si>
    <t>Flow
[L/s]</t>
  </si>
  <si>
    <t>Interior
Diameter
[ mm ]</t>
  </si>
  <si>
    <t>Viscosity
[ Pa·s ]</t>
  </si>
  <si>
    <t>Reynolds
Number
Re</t>
  </si>
  <si>
    <t>Reynolds Number</t>
  </si>
  <si>
    <t>Friction factor</t>
  </si>
  <si>
    <t>Annual hours of operation</t>
  </si>
  <si>
    <t>kg/m3</t>
  </si>
  <si>
    <t>m3/s</t>
  </si>
  <si>
    <t>Pa·s</t>
  </si>
  <si>
    <t xml:space="preserve">Density </t>
  </si>
  <si>
    <t xml:space="preserve">Flow </t>
  </si>
  <si>
    <t xml:space="preserve">Viscosity </t>
  </si>
  <si>
    <t xml:space="preserve">Exterior Diameter </t>
  </si>
  <si>
    <t xml:space="preserve">Interior Diameter </t>
  </si>
  <si>
    <t xml:space="preserve">Wall thickness </t>
  </si>
  <si>
    <t xml:space="preserve">Rougness </t>
  </si>
  <si>
    <t xml:space="preserve">Velocity </t>
  </si>
  <si>
    <t xml:space="preserve">Pump Efficiency </t>
  </si>
  <si>
    <t xml:space="preserve">Pump Power </t>
  </si>
  <si>
    <t xml:space="preserve">Energy cost </t>
  </si>
  <si>
    <t>FBE coated</t>
  </si>
  <si>
    <t xml:space="preserve">Case: </t>
  </si>
  <si>
    <t>Flow
Rate
[m3/s]</t>
  </si>
  <si>
    <t>Friction
factor
f</t>
  </si>
  <si>
    <t>Wall
thickness
[ mm ]</t>
  </si>
  <si>
    <t>wall yr 1</t>
  </si>
  <si>
    <t>wall yr 25</t>
  </si>
  <si>
    <t>k yr 1</t>
  </si>
  <si>
    <t>k yr 25</t>
  </si>
  <si>
    <t>Eq
Left
Side</t>
  </si>
  <si>
    <t>Eq
Right
Side</t>
  </si>
  <si>
    <t>f
diff
Error</t>
  </si>
  <si>
    <t>Fluid 
Velocity
[m/s]</t>
  </si>
  <si>
    <t>Outside
Diameter [m]</t>
  </si>
  <si>
    <t>Inside
Diameter
[m]</t>
  </si>
  <si>
    <t>Dynamic viscosity of water</t>
  </si>
  <si>
    <t>Out
Diam
[ in ]</t>
  </si>
  <si>
    <t>Density
kg/m3</t>
  </si>
  <si>
    <t>$/joint</t>
  </si>
  <si>
    <t>$/kWh</t>
  </si>
  <si>
    <t xml:space="preserve">Friction Head Loss </t>
  </si>
  <si>
    <t>Elevation Head Loss</t>
  </si>
  <si>
    <t>C</t>
  </si>
  <si>
    <t>W</t>
  </si>
  <si>
    <t>$/yr</t>
  </si>
  <si>
    <t>Annual cost of energy · C</t>
  </si>
  <si>
    <t>Extra energy</t>
  </si>
  <si>
    <t>Extra Inspections</t>
  </si>
  <si>
    <t>Initial capital costs</t>
  </si>
  <si>
    <t>OpEx</t>
  </si>
  <si>
    <t>Pump 
Elevation
[ kW ]</t>
  </si>
  <si>
    <t>Pump
Friction
[ kW ]</t>
  </si>
  <si>
    <t>Friction</t>
  </si>
  <si>
    <t>Elevation</t>
  </si>
  <si>
    <t>Metric</t>
  </si>
  <si>
    <t>Out
Diam
[in]</t>
  </si>
  <si>
    <t>Friction
factor f
[   ]</t>
  </si>
  <si>
    <t>Electricity
Friction 
[ M$ ]</t>
  </si>
  <si>
    <t>Electricity
Elevation
[ M$ ]</t>
  </si>
  <si>
    <t>Elevation Energy</t>
  </si>
  <si>
    <t>Extra Friction Energy</t>
  </si>
  <si>
    <t>Parameter</t>
  </si>
  <si>
    <t>Variable name</t>
  </si>
  <si>
    <t>API 5L X70 density</t>
  </si>
  <si>
    <t xml:space="preserve"> Hot-rolled steel coil price</t>
  </si>
  <si>
    <t>X70 Steel density</t>
  </si>
  <si>
    <t>Outside diameter</t>
  </si>
  <si>
    <t>Segment length</t>
  </si>
  <si>
    <t>HRC price</t>
  </si>
  <si>
    <t>Roughness FBE year 1</t>
  </si>
  <si>
    <t>Roughness FBE year 25</t>
  </si>
  <si>
    <t>Roughness bare year 1</t>
  </si>
  <si>
    <t>Roughness bare year 25</t>
  </si>
  <si>
    <t>FBE wall  year 1</t>
  </si>
  <si>
    <t>Bare wall  year 1</t>
  </si>
  <si>
    <t>SI base unit</t>
  </si>
  <si>
    <t>Field coating</t>
  </si>
  <si>
    <t>Electrical energy</t>
  </si>
  <si>
    <t>Pipeline Length</t>
  </si>
  <si>
    <t>Arbitrary</t>
  </si>
  <si>
    <t>yr</t>
  </si>
  <si>
    <t>$/MWh</t>
  </si>
  <si>
    <t>Elevation change</t>
  </si>
  <si>
    <t>Bare Inside Diameter year 1</t>
  </si>
  <si>
    <t>FBE Inside Diameter year 1</t>
  </si>
  <si>
    <t>Service life</t>
  </si>
  <si>
    <t>Wall corrosion rate</t>
  </si>
  <si>
    <t>Fluid density</t>
  </si>
  <si>
    <t>Bare wall yr 1</t>
  </si>
  <si>
    <t>Length of pipeline</t>
  </si>
  <si>
    <t>hot-rolled steel coil (hrc) price</t>
  </si>
  <si>
    <t>kg</t>
  </si>
  <si>
    <t>Freight cost</t>
  </si>
  <si>
    <t>$/kg</t>
  </si>
  <si>
    <t>$</t>
  </si>
  <si>
    <t>China Inland</t>
  </si>
  <si>
    <t>Ocean Freight</t>
  </si>
  <si>
    <t>Chile Inland</t>
  </si>
  <si>
    <t>Cost of bare pipes</t>
  </si>
  <si>
    <t>FBE wall yr 1</t>
  </si>
  <si>
    <t>Cost of FBE pipes</t>
  </si>
  <si>
    <t>Cost of steel</t>
  </si>
  <si>
    <t>Diff/Bare</t>
  </si>
  <si>
    <t>Strategy</t>
  </si>
  <si>
    <t>Steel cost</t>
  </si>
  <si>
    <t>Percentage</t>
  </si>
  <si>
    <t>Seconds in a day</t>
  </si>
  <si>
    <t>s/day</t>
  </si>
  <si>
    <t>Flow rate</t>
  </si>
  <si>
    <t>Dosage plant upfront investment per flow rate</t>
  </si>
  <si>
    <t>Dosage plant investment</t>
  </si>
  <si>
    <t>$/m²</t>
  </si>
  <si>
    <t>Mobilization of Crew &amp; Equipment</t>
  </si>
  <si>
    <t>Demobilization of Crew &amp; Equipment</t>
  </si>
  <si>
    <t>Personnel &amp; Robotic Equipment</t>
  </si>
  <si>
    <t>Pre-blasting Personnel &amp; Equipment</t>
  </si>
  <si>
    <t>Internal Coating Application</t>
  </si>
  <si>
    <t>Pipe-End Pre-blasting</t>
  </si>
  <si>
    <t>Total Cost per Joint</t>
  </si>
  <si>
    <t>Total Field Internal Coating</t>
  </si>
  <si>
    <t>Joints</t>
  </si>
  <si>
    <t>hr/yr</t>
  </si>
  <si>
    <t>m³</t>
  </si>
  <si>
    <t>Total volume</t>
  </si>
  <si>
    <t>Inhibitor</t>
  </si>
  <si>
    <t>m³/month</t>
  </si>
  <si>
    <t>m³/hr</t>
  </si>
  <si>
    <t>Dosage</t>
  </si>
  <si>
    <t>Price 
[ $/kg ]</t>
  </si>
  <si>
    <t>Mass
[ kg/yr ]</t>
  </si>
  <si>
    <t>Compound</t>
  </si>
  <si>
    <t>Mass
[ kg/month ]</t>
  </si>
  <si>
    <t>Discount Rate</t>
  </si>
  <si>
    <t>Present Value</t>
  </si>
  <si>
    <t>Inside Diameter (D)</t>
  </si>
  <si>
    <t>Pipeline Liength (L)</t>
  </si>
  <si>
    <t>FBE pipeline Inner Surface (pi·D·L)</t>
  </si>
  <si>
    <t>Cost per interior Surface Area (CPS)</t>
  </si>
  <si>
    <t>Bare · Volume of 1 m of pipe</t>
  </si>
  <si>
    <t>Bare · Inside Diameter Yr 1</t>
  </si>
  <si>
    <t>Bare · Steel weight of pipes</t>
  </si>
  <si>
    <t>FBE · Inside Diameter Yr 1</t>
  </si>
  <si>
    <t>FBE · Volume of 1 m of pipe</t>
  </si>
  <si>
    <t>FBE · Steel weight of pipes</t>
  </si>
  <si>
    <t>Field Joint Coating</t>
  </si>
  <si>
    <t>Shop FBE coating</t>
  </si>
  <si>
    <t>Field joint coating</t>
  </si>
  <si>
    <t>Total steel cost</t>
  </si>
  <si>
    <t>Total Field Shop Steel</t>
  </si>
  <si>
    <t>Bare annual Inspection</t>
  </si>
  <si>
    <t>FBE annual Inspection</t>
  </si>
  <si>
    <t>Bare inspection cost</t>
  </si>
  <si>
    <t>FBE inspection cost</t>
  </si>
  <si>
    <t>Bare PV Inspection</t>
  </si>
  <si>
    <t>FBE PV Inspection</t>
  </si>
  <si>
    <t>Projected Price of electricity</t>
  </si>
  <si>
    <t>Fluid Density</t>
  </si>
  <si>
    <t>Shop Coating</t>
  </si>
  <si>
    <t>Extra Inhibitors</t>
  </si>
  <si>
    <t>Joint Field Coating</t>
  </si>
  <si>
    <t>ok</t>
  </si>
  <si>
    <t>Coated Pipe</t>
  </si>
  <si>
    <t>Bare pipe Cost of Electricity Year 1</t>
  </si>
  <si>
    <t>$/Wh</t>
  </si>
  <si>
    <t>Descuento por volumen</t>
  </si>
  <si>
    <t>Initial wall thickness</t>
  </si>
  <si>
    <t>Steel Weight</t>
  </si>
  <si>
    <t>Coated</t>
  </si>
  <si>
    <t>FBE percentage</t>
  </si>
  <si>
    <t>Steel Percentage</t>
  </si>
  <si>
    <t>NEEDED</t>
  </si>
  <si>
    <t>New commercial steel (0.045–0.09 mm)</t>
  </si>
  <si>
    <t>Field data from carbon steel water mains show roughness growth rates of 0.0055–0.0518 mm/yr, yielding 0.14–1.3 mm over 25 years.</t>
  </si>
  <si>
    <t>Average</t>
  </si>
  <si>
    <t>Comments</t>
  </si>
  <si>
    <t>The 0.015 mm value reflects field conditions with minor surface imperfections, aligning with coated pipe database</t>
  </si>
  <si>
    <t>https://www.imia.com/wp-content/uploads/2023/08/IMIA-WGP-126-22-Coating-Failures.pdf</t>
  </si>
  <si>
    <t>Terminal roughness of 0.035 mm better reflects seawater ageing dynamics while remaining within ISO 21809-2 tolerances</t>
  </si>
  <si>
    <t>https://www.pipeflow.com/pipe-pressure-drop-calculations/pipe-roughness</t>
  </si>
  <si>
    <t>https://apps.dtic.mil/sti/tr/pdf/ADA194321.pdf</t>
  </si>
  <si>
    <t>https://www.steelmains.com/files/TWT%2015140%20Comparison%20of%20Sintakote%20vs%20Epoxy%20coatings%20on%20steel%20water%20pipe.pdf</t>
  </si>
  <si>
    <t>https://nepis.epa.gov/Exe/ZyPURL.cgi?Dockey=10003FIW.TXT</t>
  </si>
  <si>
    <t>Confidential Quote</t>
  </si>
  <si>
    <t>The 0.15 mm/year corrosion rate assumption holds validity for industrial water systems with adequate treatment (pH 7–8.5, inhibitor dosing). However, seawater models require adjustment to 0.25–0.35 mm/year baseline rates with additional 0.12–0.18 mm/year biofouling roughness increments.</t>
  </si>
  <si>
    <t>https://gmk.center/en/posts/hot-rolled-coil-prices-have-increased-in-most-markets-since-the-beginning-of-the-year/</t>
  </si>
  <si>
    <t>Reference 1</t>
  </si>
  <si>
    <t>Reference 2</t>
  </si>
  <si>
    <t>Cost per weight (CPW)</t>
  </si>
  <si>
    <t>µm</t>
  </si>
  <si>
    <t>Friction Energy</t>
  </si>
  <si>
    <t>:Friction Energy #197</t>
  </si>
  <si>
    <t>Steel design</t>
  </si>
  <si>
    <t>Steel corrosion</t>
  </si>
  <si>
    <t>Shop coating</t>
  </si>
  <si>
    <t>Cutback 0.5 m uncoated</t>
  </si>
  <si>
    <t>Rest of the pipe coated</t>
  </si>
  <si>
    <t>Times more expensive</t>
  </si>
  <si>
    <t>Times more expensive per surface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</si>
</sst>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6" formatCode="&quot;$&quot;#,##0;[Red]\-&quot;$&quot;#,##0"/>
    <numFmt numFmtId="8" formatCode="&quot;$&quot;#,##0.00;[Red]\-&quot;$&quot;#,##0.0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0\ &quot;mm&quot;"/>
    <numFmt numFmtId="165" formatCode="_(* #,##0.00_);_(* \(#,##0.00\);_(* &quot;-&quot;??_);_(@_)"/>
    <numFmt numFmtId="166" formatCode="_(* #,##0_);_(* \(#,##0\);_(* &quot;-&quot;??_);_(@_)"/>
    <numFmt numFmtId="167" formatCode="_(&quot;$&quot;* #,##0.00_);_(&quot;$&quot;* \(#,##0.00\);_(&quot;$&quot;* &quot;-&quot;??_);_(@_)"/>
    <numFmt numFmtId="168" formatCode="0.00000\ &quot;m&quot;"/>
    <numFmt numFmtId="169" formatCode="0.0000\ &quot;m/s&quot;"/>
    <numFmt numFmtId="170" formatCode="0.000\ &quot;mm&quot;"/>
    <numFmt numFmtId="171" formatCode="_-* #,##0.00000000_-;\-* #,##0.00000000_-;_-* &quot;-&quot;??_-;_-@_-"/>
    <numFmt numFmtId="172" formatCode="0.0\ &quot;m&quot;"/>
    <numFmt numFmtId="173" formatCode="0.0"/>
    <numFmt numFmtId="174" formatCode="0.00\ &quot;M/yr&quot;"/>
    <numFmt numFmtId="175" formatCode="0.0\ &quot;M&quot;"/>
    <numFmt numFmtId="176" formatCode="_(* #,##0.000000_);_(* \(#,##0.000000\);_(* &quot;-&quot;??_);_(@_)"/>
    <numFmt numFmtId="177" formatCode="_-* #,##0.00000_-;\-* #,##0.00000_-;_-* &quot;-&quot;_-;_-@_-"/>
    <numFmt numFmtId="178" formatCode="#,##0\ &quot;kW&quot;"/>
    <numFmt numFmtId="179" formatCode="_(* #,##0.0000000_);_(* \(#,##0.0000000\);_(* &quot;-&quot;??_);_(@_)"/>
    <numFmt numFmtId="180" formatCode="_-* #,##0.00000000_-;\-* #,##0.00000000_-;_-* &quot;-&quot;_-;_-@_-"/>
    <numFmt numFmtId="181" formatCode="0\ &quot;psi&quot;"/>
    <numFmt numFmtId="182" formatCode="0.0000"/>
    <numFmt numFmtId="183" formatCode="&quot;$&quot;#,##0"/>
    <numFmt numFmtId="184" formatCode="&quot;$&quot;#,##0.00"/>
    <numFmt numFmtId="185" formatCode="_-* #,##0.000000_-;\-* #,##0.000000_-;_-* &quot;-&quot;_-;_-@_-"/>
    <numFmt numFmtId="186" formatCode="_-* #,##0.000000_-;\-* #,##0.000000_-;_-* &quot;-&quot;??_-;_-@_-"/>
    <numFmt numFmtId="187" formatCode="_-* #,##0.000000000000_-;\-* #,##0.000000000000_-;_-* &quot;-&quot;_-;_-@_-"/>
    <numFmt numFmtId="188" formatCode="_-* #,##0.0000000000000_-;\-* #,##0.0000000000000_-;_-* &quot;-&quot;_-;_-@_-"/>
    <numFmt numFmtId="189" formatCode="&quot;$&quot;#,##0.00\ &quot;MM&quot;"/>
    <numFmt numFmtId="190" formatCode="0.0000000"/>
    <numFmt numFmtId="191" formatCode="0.00000000"/>
    <numFmt numFmtId="192" formatCode="0\ &quot;kg&quot;"/>
    <numFmt numFmtId="193" formatCode="0.000"/>
    <numFmt numFmtId="194" formatCode="0.0%"/>
    <numFmt numFmtId="195" formatCode="&quot;$&quot;#,##0.00000"/>
    <numFmt numFmtId="196" formatCode="&quot;$&quot;#,##0.00000;[Red]\-&quot;$&quot;#,##0.00000"/>
    <numFmt numFmtId="197" formatCode="0.000000"/>
    <numFmt numFmtId="198" formatCode="0.00000"/>
    <numFmt numFmtId="199" formatCode="0.00000000000"/>
    <numFmt numFmtId="200" formatCode="_-* #,##0.000_-;\-* #,##0.000_-;_-* &quot;-&quot;_-;_-@_-"/>
    <numFmt numFmtId="201" formatCode="0.E+00"/>
    <numFmt numFmtId="202" formatCode="_-* #,##0.00_-;\-* #,##0.00_-;_-* &quot;-&quot;_-;_-@_-"/>
    <numFmt numFmtId="203" formatCode="&quot;$&quot;#,##0.0"/>
    <numFmt numFmtId="204" formatCode="#,##0.0\ &quot;kg/month&quot;"/>
  </numFmts>
  <fonts count="54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Helvetica Neue"/>
      <family val="2"/>
    </font>
    <font>
      <sz val="12"/>
      <color theme="1"/>
      <name val="Helvetica Neue"/>
      <family val="2"/>
    </font>
    <font>
      <sz val="8"/>
      <color theme="1"/>
      <name val="Helvetica Neue"/>
      <family val="2"/>
    </font>
    <font>
      <sz val="8"/>
      <color theme="1"/>
      <name val="Cambria"/>
      <family val="1"/>
    </font>
    <font>
      <b/>
      <sz val="8"/>
      <color theme="1"/>
      <name val="Cambria"/>
      <family val="1"/>
    </font>
    <font>
      <sz val="12"/>
      <color theme="1"/>
      <name val="Calibri"/>
      <family val="2"/>
    </font>
    <font>
      <b/>
      <sz val="12"/>
      <color theme="0"/>
      <name val="Helvetica Neue"/>
      <family val="2"/>
    </font>
    <font>
      <sz val="12"/>
      <color theme="3" tint="9.9978637043366805E-2"/>
      <name val="Helvetica Neue"/>
      <family val="2"/>
    </font>
    <font>
      <sz val="12"/>
      <color rgb="FFC00000"/>
      <name val="Helvetica Neue"/>
      <family val="2"/>
    </font>
    <font>
      <b/>
      <sz val="12"/>
      <color theme="3" tint="9.9978637043366805E-2"/>
      <name val="Helvetica Neue"/>
      <family val="2"/>
    </font>
    <font>
      <b/>
      <sz val="12"/>
      <color rgb="FFC00000"/>
      <name val="Helvetica Neue"/>
      <family val="2"/>
    </font>
    <font>
      <sz val="12"/>
      <color theme="1"/>
      <name val="Helvetica Neue Light"/>
    </font>
    <font>
      <b/>
      <sz val="11"/>
      <color theme="1"/>
      <name val="Helvetica Neue"/>
      <family val="2"/>
    </font>
    <font>
      <sz val="8"/>
      <color theme="1"/>
      <name val="Helvetica"/>
      <family val="2"/>
    </font>
    <font>
      <sz val="12"/>
      <color theme="1"/>
      <name val="Arial"/>
      <family val="2"/>
    </font>
    <font>
      <sz val="12"/>
      <color rgb="FF212529"/>
      <name val="Arial"/>
      <family val="2"/>
    </font>
    <font>
      <sz val="8"/>
      <color rgb="FFFF0000"/>
      <name val="Cambria"/>
      <family val="1"/>
    </font>
    <font>
      <sz val="8"/>
      <color theme="1"/>
      <name val="Cambria Math"/>
      <family val="1"/>
    </font>
    <font>
      <b/>
      <sz val="8"/>
      <color theme="1"/>
      <name val="Helvetica"/>
      <family val="2"/>
    </font>
    <font>
      <b/>
      <sz val="8"/>
      <color theme="1"/>
      <name val="Cambria Math"/>
      <family val="1"/>
    </font>
    <font>
      <sz val="9"/>
      <color theme="1"/>
      <name val="Helvetica Neue"/>
      <family val="2"/>
    </font>
    <font>
      <b/>
      <sz val="9"/>
      <color theme="1"/>
      <name val="Helvetica Neue"/>
      <family val="2"/>
    </font>
    <font>
      <sz val="8"/>
      <color theme="1"/>
      <name val="Times New Roman"/>
      <family val="1"/>
    </font>
    <font>
      <b/>
      <sz val="8"/>
      <color rgb="FF000000"/>
      <name val="Times New Roman"/>
      <family val="1"/>
    </font>
    <font>
      <b/>
      <sz val="8"/>
      <color theme="1"/>
      <name val="Times New Roman"/>
      <family val="1"/>
    </font>
    <font>
      <i/>
      <sz val="8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Aptos Narrow"/>
      <family val="2"/>
      <scheme val="minor"/>
    </font>
    <font>
      <sz val="9"/>
      <name val="Osaka"/>
      <family val="2"/>
      <charset val="128"/>
    </font>
    <font>
      <i/>
      <sz val="10"/>
      <color rgb="FF000000"/>
      <name val="Aptos Narrow"/>
    </font>
    <font>
      <sz val="10"/>
      <color rgb="FF000000"/>
      <name val="Aptos Narrow"/>
    </font>
    <font>
      <sz val="8"/>
      <name val="Times New Roman"/>
      <family val="1"/>
    </font>
    <font>
      <sz val="9"/>
      <color theme="0"/>
      <name val="Lucida Sans Typewriter Regular"/>
    </font>
    <font>
      <sz val="8"/>
      <color theme="0"/>
      <name val="Lucida Sans Typewriter Regular"/>
    </font>
    <font>
      <sz val="8"/>
      <color theme="0" tint="-0.34998626667073579"/>
      <name val="Lantinghei TC Extralight"/>
    </font>
    <font>
      <sz val="9"/>
      <color theme="0"/>
      <name val="Helvetica Neue Medium"/>
    </font>
    <font>
      <sz val="8"/>
      <color theme="0"/>
      <name val="Helvetica Neue Medium"/>
    </font>
    <font>
      <sz val="8"/>
      <color rgb="FFFFF700"/>
      <name val="Lucida Sans Typewriter Regular"/>
    </font>
    <font>
      <sz val="9"/>
      <color rgb="FFFFF700"/>
      <name val="Lucida Sans Typewriter Regular"/>
    </font>
    <font>
      <b/>
      <sz val="9"/>
      <color rgb="FFFFF700"/>
      <name val="Lucida Sans Typewriter Regular"/>
    </font>
    <font>
      <sz val="12"/>
      <color rgb="FF3F3F76"/>
      <name val="Aptos Narrow"/>
      <family val="2"/>
      <scheme val="minor"/>
    </font>
    <font>
      <sz val="11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10"/>
      <color theme="1"/>
      <name val="Aptos Narrow"/>
      <scheme val="minor"/>
    </font>
    <font>
      <sz val="8"/>
      <color theme="1"/>
      <name val="Aptos Narrow"/>
      <family val="2"/>
      <scheme val="minor"/>
    </font>
    <font>
      <sz val="10"/>
      <color rgb="FF00000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Aptos Narrow"/>
      <scheme val="minor"/>
    </font>
    <font>
      <sz val="8"/>
      <color theme="0"/>
      <name val="Lantinghei TC Extralight"/>
    </font>
    <font>
      <u/>
      <sz val="12"/>
      <color theme="10"/>
      <name val="Aptos Narrow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10220A"/>
        <bgColor indexed="64"/>
      </patternFill>
    </fill>
    <fill>
      <patternFill patternType="solid">
        <fgColor rgb="FFFFCC99"/>
      </patternFill>
    </fill>
    <fill>
      <patternFill patternType="solid">
        <fgColor theme="5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medium">
        <color rgb="FF7F7F7F"/>
      </bottom>
      <diagonal/>
    </border>
    <border>
      <left/>
      <right/>
      <top style="medium">
        <color rgb="FF7F7F7F"/>
      </top>
      <bottom/>
      <diagonal/>
    </border>
    <border>
      <left/>
      <right/>
      <top/>
      <bottom style="medium">
        <color rgb="FF666666"/>
      </bottom>
      <diagonal/>
    </border>
    <border>
      <left/>
      <right/>
      <top style="medium">
        <color rgb="FF666666"/>
      </top>
      <bottom/>
      <diagonal/>
    </border>
    <border>
      <left/>
      <right/>
      <top/>
      <bottom style="thick">
        <color rgb="FF666666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8">
    <xf numFmtId="0" fontId="0" fillId="0" borderId="0"/>
    <xf numFmtId="165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13" borderId="25" applyNumberFormat="0" applyAlignment="0" applyProtection="0"/>
    <xf numFmtId="0" fontId="53" fillId="0" borderId="0" applyNumberFormat="0" applyFill="0" applyBorder="0" applyAlignment="0" applyProtection="0"/>
  </cellStyleXfs>
  <cellXfs count="34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164" fontId="5" fillId="0" borderId="0" xfId="2" applyNumberFormat="1" applyFont="1"/>
    <xf numFmtId="0" fontId="3" fillId="0" borderId="0" xfId="0" applyFont="1"/>
    <xf numFmtId="0" fontId="3" fillId="0" borderId="0" xfId="0" applyFont="1" applyAlignment="1">
      <alignment horizontal="right"/>
    </xf>
    <xf numFmtId="0" fontId="2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7" fillId="0" borderId="0" xfId="0" applyFont="1"/>
    <xf numFmtId="173" fontId="3" fillId="0" borderId="0" xfId="0" applyNumberFormat="1" applyFont="1"/>
    <xf numFmtId="0" fontId="8" fillId="2" borderId="6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right"/>
    </xf>
    <xf numFmtId="174" fontId="9" fillId="3" borderId="5" xfId="5" applyNumberFormat="1" applyFont="1" applyFill="1" applyBorder="1"/>
    <xf numFmtId="0" fontId="10" fillId="0" borderId="0" xfId="0" applyFont="1"/>
    <xf numFmtId="0" fontId="3" fillId="3" borderId="0" xfId="0" applyFont="1" applyFill="1"/>
    <xf numFmtId="0" fontId="3" fillId="3" borderId="7" xfId="0" applyFont="1" applyFill="1" applyBorder="1" applyAlignment="1">
      <alignment horizontal="right"/>
    </xf>
    <xf numFmtId="175" fontId="9" fillId="0" borderId="0" xfId="0" applyNumberFormat="1" applyFont="1"/>
    <xf numFmtId="0" fontId="3" fillId="3" borderId="6" xfId="0" applyFont="1" applyFill="1" applyBorder="1" applyAlignment="1">
      <alignment horizontal="right"/>
    </xf>
    <xf numFmtId="41" fontId="11" fillId="3" borderId="5" xfId="2" applyFont="1" applyFill="1" applyBorder="1"/>
    <xf numFmtId="41" fontId="12" fillId="0" borderId="0" xfId="2" applyFont="1"/>
    <xf numFmtId="0" fontId="3" fillId="4" borderId="0" xfId="0" applyFont="1" applyFill="1"/>
    <xf numFmtId="0" fontId="3" fillId="5" borderId="10" xfId="0" applyFont="1" applyFill="1" applyBorder="1" applyAlignment="1">
      <alignment horizontal="right"/>
    </xf>
    <xf numFmtId="41" fontId="11" fillId="0" borderId="0" xfId="2" applyFont="1"/>
    <xf numFmtId="41" fontId="12" fillId="4" borderId="5" xfId="2" applyFont="1" applyFill="1" applyBorder="1"/>
    <xf numFmtId="0" fontId="13" fillId="0" borderId="11" xfId="0" applyFont="1" applyBorder="1" applyAlignment="1">
      <alignment vertical="center"/>
    </xf>
    <xf numFmtId="0" fontId="3" fillId="4" borderId="10" xfId="0" applyFont="1" applyFill="1" applyBorder="1" applyAlignment="1">
      <alignment horizontal="right"/>
    </xf>
    <xf numFmtId="41" fontId="11" fillId="4" borderId="5" xfId="2" applyFont="1" applyFill="1" applyBorder="1"/>
    <xf numFmtId="0" fontId="3" fillId="4" borderId="12" xfId="0" applyFont="1" applyFill="1" applyBorder="1" applyAlignment="1">
      <alignment horizontal="right"/>
    </xf>
    <xf numFmtId="41" fontId="11" fillId="0" borderId="7" xfId="2" applyFont="1" applyBorder="1"/>
    <xf numFmtId="0" fontId="13" fillId="0" borderId="13" xfId="0" applyFont="1" applyBorder="1" applyAlignment="1">
      <alignment vertical="center"/>
    </xf>
    <xf numFmtId="0" fontId="8" fillId="2" borderId="0" xfId="0" applyFont="1" applyFill="1" applyAlignment="1">
      <alignment horizontal="right"/>
    </xf>
    <xf numFmtId="175" fontId="11" fillId="0" borderId="5" xfId="0" applyNumberFormat="1" applyFont="1" applyBorder="1"/>
    <xf numFmtId="0" fontId="8" fillId="0" borderId="0" xfId="0" applyFont="1"/>
    <xf numFmtId="0" fontId="14" fillId="0" borderId="0" xfId="0" applyFont="1"/>
    <xf numFmtId="42" fontId="4" fillId="0" borderId="0" xfId="4" applyFont="1"/>
    <xf numFmtId="42" fontId="3" fillId="0" borderId="0" xfId="4" applyFont="1"/>
    <xf numFmtId="0" fontId="4" fillId="0" borderId="0" xfId="0" applyFont="1" applyAlignment="1">
      <alignment horizontal="center" wrapText="1"/>
    </xf>
    <xf numFmtId="168" fontId="4" fillId="0" borderId="0" xfId="2" applyNumberFormat="1" applyFont="1"/>
    <xf numFmtId="169" fontId="4" fillId="0" borderId="0" xfId="0" applyNumberFormat="1" applyFont="1"/>
    <xf numFmtId="170" fontId="4" fillId="0" borderId="0" xfId="2" applyNumberFormat="1" applyFont="1"/>
    <xf numFmtId="171" fontId="15" fillId="0" borderId="0" xfId="0" applyNumberFormat="1" applyFont="1"/>
    <xf numFmtId="1" fontId="15" fillId="0" borderId="0" xfId="2" applyNumberFormat="1" applyFont="1"/>
    <xf numFmtId="172" fontId="4" fillId="0" borderId="0" xfId="2" applyNumberFormat="1" applyFont="1"/>
    <xf numFmtId="178" fontId="4" fillId="0" borderId="0" xfId="1" applyNumberFormat="1" applyFont="1"/>
    <xf numFmtId="44" fontId="3" fillId="0" borderId="0" xfId="0" applyNumberFormat="1" applyFont="1"/>
    <xf numFmtId="41" fontId="3" fillId="0" borderId="0" xfId="2" applyFont="1"/>
    <xf numFmtId="0" fontId="4" fillId="6" borderId="0" xfId="0" applyFont="1" applyFill="1"/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wrapText="1"/>
    </xf>
    <xf numFmtId="16" fontId="17" fillId="0" borderId="0" xfId="0" applyNumberFormat="1" applyFont="1"/>
    <xf numFmtId="16" fontId="17" fillId="0" borderId="0" xfId="0" applyNumberFormat="1" applyFont="1" applyAlignment="1">
      <alignment wrapText="1"/>
    </xf>
    <xf numFmtId="0" fontId="16" fillId="0" borderId="0" xfId="0" applyFont="1" applyAlignment="1">
      <alignment wrapText="1"/>
    </xf>
    <xf numFmtId="181" fontId="16" fillId="0" borderId="0" xfId="0" applyNumberFormat="1" applyFont="1" applyAlignment="1">
      <alignment wrapText="1"/>
    </xf>
    <xf numFmtId="186" fontId="5" fillId="0" borderId="0" xfId="0" applyNumberFormat="1" applyFont="1"/>
    <xf numFmtId="171" fontId="18" fillId="0" borderId="0" xfId="0" applyNumberFormat="1" applyFont="1"/>
    <xf numFmtId="0" fontId="5" fillId="0" borderId="0" xfId="2" applyNumberFormat="1" applyFont="1"/>
    <xf numFmtId="187" fontId="5" fillId="0" borderId="0" xfId="2" applyNumberFormat="1" applyFont="1"/>
    <xf numFmtId="188" fontId="5" fillId="0" borderId="0" xfId="2" applyNumberFormat="1" applyFont="1"/>
    <xf numFmtId="185" fontId="4" fillId="0" borderId="0" xfId="2" applyNumberFormat="1" applyFont="1"/>
    <xf numFmtId="180" fontId="4" fillId="0" borderId="0" xfId="2" applyNumberFormat="1" applyFont="1"/>
    <xf numFmtId="0" fontId="19" fillId="0" borderId="0" xfId="0" applyFont="1"/>
    <xf numFmtId="164" fontId="19" fillId="0" borderId="0" xfId="2" applyNumberFormat="1" applyFont="1"/>
    <xf numFmtId="169" fontId="19" fillId="0" borderId="0" xfId="0" applyNumberFormat="1" applyFont="1"/>
    <xf numFmtId="170" fontId="19" fillId="0" borderId="0" xfId="2" applyNumberFormat="1" applyFont="1"/>
    <xf numFmtId="1" fontId="19" fillId="0" borderId="0" xfId="2" applyNumberFormat="1" applyFont="1"/>
    <xf numFmtId="172" fontId="19" fillId="0" borderId="0" xfId="2" applyNumberFormat="1" applyFont="1"/>
    <xf numFmtId="178" fontId="19" fillId="0" borderId="0" xfId="1" applyNumberFormat="1" applyFont="1"/>
    <xf numFmtId="177" fontId="19" fillId="0" borderId="0" xfId="0" applyNumberFormat="1" applyFont="1"/>
    <xf numFmtId="189" fontId="19" fillId="0" borderId="0" xfId="4" applyNumberFormat="1" applyFont="1"/>
    <xf numFmtId="189" fontId="19" fillId="0" borderId="15" xfId="4" applyNumberFormat="1" applyFont="1" applyBorder="1"/>
    <xf numFmtId="183" fontId="6" fillId="0" borderId="0" xfId="4" applyNumberFormat="1" applyFont="1"/>
    <xf numFmtId="182" fontId="5" fillId="0" borderId="0" xfId="2" applyNumberFormat="1" applyFont="1"/>
    <xf numFmtId="0" fontId="6" fillId="0" borderId="14" xfId="0" applyFont="1" applyBorder="1"/>
    <xf numFmtId="2" fontId="5" fillId="0" borderId="0" xfId="2" applyNumberFormat="1" applyFont="1"/>
    <xf numFmtId="164" fontId="19" fillId="0" borderId="0" xfId="0" applyNumberFormat="1" applyFont="1"/>
    <xf numFmtId="170" fontId="19" fillId="6" borderId="0" xfId="0" applyNumberFormat="1" applyFont="1" applyFill="1"/>
    <xf numFmtId="1" fontId="19" fillId="0" borderId="0" xfId="0" applyNumberFormat="1" applyFont="1"/>
    <xf numFmtId="172" fontId="19" fillId="0" borderId="0" xfId="0" applyNumberFormat="1" applyFont="1"/>
    <xf numFmtId="178" fontId="19" fillId="0" borderId="0" xfId="0" applyNumberFormat="1" applyFont="1"/>
    <xf numFmtId="190" fontId="19" fillId="0" borderId="0" xfId="2" applyNumberFormat="1" applyFont="1"/>
    <xf numFmtId="164" fontId="6" fillId="0" borderId="14" xfId="2" applyNumberFormat="1" applyFont="1" applyBorder="1"/>
    <xf numFmtId="0" fontId="6" fillId="0" borderId="14" xfId="0" applyFont="1" applyBorder="1" applyAlignment="1">
      <alignment horizontal="right"/>
    </xf>
    <xf numFmtId="1" fontId="20" fillId="0" borderId="14" xfId="2" applyNumberFormat="1" applyFont="1" applyBorder="1"/>
    <xf numFmtId="191" fontId="15" fillId="0" borderId="0" xfId="2" applyNumberFormat="1" applyFont="1"/>
    <xf numFmtId="189" fontId="21" fillId="0" borderId="14" xfId="4" applyNumberFormat="1" applyFont="1" applyBorder="1"/>
    <xf numFmtId="184" fontId="3" fillId="0" borderId="0" xfId="0" applyNumberFormat="1" applyFont="1"/>
    <xf numFmtId="189" fontId="21" fillId="0" borderId="0" xfId="4" applyNumberFormat="1" applyFont="1" applyBorder="1"/>
    <xf numFmtId="164" fontId="5" fillId="0" borderId="0" xfId="2" applyNumberFormat="1" applyFont="1" applyBorder="1"/>
    <xf numFmtId="164" fontId="6" fillId="0" borderId="22" xfId="2" applyNumberFormat="1" applyFont="1" applyBorder="1"/>
    <xf numFmtId="164" fontId="5" fillId="0" borderId="22" xfId="2" applyNumberFormat="1" applyFont="1" applyBorder="1"/>
    <xf numFmtId="189" fontId="21" fillId="0" borderId="22" xfId="4" applyNumberFormat="1" applyFont="1" applyBorder="1"/>
    <xf numFmtId="164" fontId="5" fillId="0" borderId="15" xfId="2" applyNumberFormat="1" applyFont="1" applyBorder="1"/>
    <xf numFmtId="189" fontId="21" fillId="0" borderId="15" xfId="4" applyNumberFormat="1" applyFont="1" applyBorder="1"/>
    <xf numFmtId="189" fontId="22" fillId="0" borderId="0" xfId="0" applyNumberFormat="1" applyFont="1"/>
    <xf numFmtId="164" fontId="22" fillId="6" borderId="0" xfId="2" applyNumberFormat="1" applyFont="1" applyFill="1"/>
    <xf numFmtId="0" fontId="23" fillId="6" borderId="0" xfId="0" applyFont="1" applyFill="1"/>
    <xf numFmtId="164" fontId="22" fillId="9" borderId="0" xfId="2" applyNumberFormat="1" applyFont="1" applyFill="1"/>
    <xf numFmtId="0" fontId="23" fillId="9" borderId="0" xfId="0" applyFont="1" applyFill="1"/>
    <xf numFmtId="172" fontId="19" fillId="9" borderId="0" xfId="2" applyNumberFormat="1" applyFont="1" applyFill="1"/>
    <xf numFmtId="2" fontId="4" fillId="0" borderId="0" xfId="0" applyNumberFormat="1" applyFont="1"/>
    <xf numFmtId="0" fontId="4" fillId="9" borderId="0" xfId="0" applyFont="1" applyFill="1"/>
    <xf numFmtId="189" fontId="22" fillId="0" borderId="0" xfId="0" quotePrefix="1" applyNumberFormat="1" applyFont="1"/>
    <xf numFmtId="0" fontId="24" fillId="0" borderId="0" xfId="0" applyFont="1" applyAlignment="1">
      <alignment horizontal="right"/>
    </xf>
    <xf numFmtId="0" fontId="24" fillId="0" borderId="0" xfId="0" applyFont="1"/>
    <xf numFmtId="0" fontId="24" fillId="0" borderId="0" xfId="3" applyNumberFormat="1" applyFont="1" applyFill="1" applyBorder="1"/>
    <xf numFmtId="1" fontId="24" fillId="0" borderId="0" xfId="0" applyNumberFormat="1" applyFont="1"/>
    <xf numFmtId="41" fontId="24" fillId="0" borderId="0" xfId="2" applyFont="1"/>
    <xf numFmtId="176" fontId="24" fillId="0" borderId="0" xfId="1" applyNumberFormat="1" applyFont="1" applyFill="1"/>
    <xf numFmtId="192" fontId="24" fillId="0" borderId="0" xfId="0" applyNumberFormat="1" applyFont="1"/>
    <xf numFmtId="8" fontId="24" fillId="0" borderId="0" xfId="0" applyNumberFormat="1" applyFont="1"/>
    <xf numFmtId="8" fontId="24" fillId="9" borderId="0" xfId="0" applyNumberFormat="1" applyFont="1" applyFill="1"/>
    <xf numFmtId="0" fontId="26" fillId="0" borderId="0" xfId="0" applyFont="1" applyAlignment="1">
      <alignment horizontal="center"/>
    </xf>
    <xf numFmtId="0" fontId="26" fillId="0" borderId="0" xfId="0" applyFont="1"/>
    <xf numFmtId="166" fontId="24" fillId="0" borderId="0" xfId="1" applyNumberFormat="1" applyFont="1" applyFill="1" applyBorder="1"/>
    <xf numFmtId="180" fontId="24" fillId="0" borderId="0" xfId="2" applyNumberFormat="1" applyFont="1" applyFill="1" applyBorder="1"/>
    <xf numFmtId="2" fontId="24" fillId="0" borderId="0" xfId="1" applyNumberFormat="1" applyFont="1" applyBorder="1"/>
    <xf numFmtId="0" fontId="24" fillId="7" borderId="0" xfId="0" applyFont="1" applyFill="1" applyAlignment="1">
      <alignment horizontal="right"/>
    </xf>
    <xf numFmtId="0" fontId="24" fillId="5" borderId="0" xfId="0" applyFont="1" applyFill="1" applyAlignment="1">
      <alignment horizontal="right"/>
    </xf>
    <xf numFmtId="43" fontId="26" fillId="5" borderId="0" xfId="0" applyNumberFormat="1" applyFont="1" applyFill="1"/>
    <xf numFmtId="0" fontId="26" fillId="5" borderId="0" xfId="0" applyFont="1" applyFill="1"/>
    <xf numFmtId="183" fontId="24" fillId="0" borderId="0" xfId="4" applyNumberFormat="1" applyFont="1"/>
    <xf numFmtId="0" fontId="27" fillId="8" borderId="16" xfId="0" applyFont="1" applyFill="1" applyBorder="1" applyAlignment="1">
      <alignment horizontal="center" vertical="center" wrapText="1"/>
    </xf>
    <xf numFmtId="0" fontId="24" fillId="0" borderId="0" xfId="0" applyFont="1" applyAlignment="1">
      <alignment vertical="center" wrapText="1"/>
    </xf>
    <xf numFmtId="184" fontId="24" fillId="0" borderId="0" xfId="0" applyNumberFormat="1" applyFont="1" applyAlignment="1">
      <alignment horizontal="right" vertical="center" wrapText="1"/>
    </xf>
    <xf numFmtId="0" fontId="24" fillId="0" borderId="0" xfId="0" applyFont="1" applyAlignment="1">
      <alignment horizontal="left"/>
    </xf>
    <xf numFmtId="179" fontId="24" fillId="0" borderId="0" xfId="1" applyNumberFormat="1" applyFont="1" applyFill="1"/>
    <xf numFmtId="0" fontId="27" fillId="8" borderId="17" xfId="0" applyFont="1" applyFill="1" applyBorder="1" applyAlignment="1">
      <alignment vertical="center" wrapText="1"/>
    </xf>
    <xf numFmtId="184" fontId="28" fillId="8" borderId="17" xfId="0" applyNumberFormat="1" applyFont="1" applyFill="1" applyBorder="1" applyAlignment="1">
      <alignment horizontal="right" vertical="center" wrapText="1"/>
    </xf>
    <xf numFmtId="183" fontId="24" fillId="5" borderId="0" xfId="0" applyNumberFormat="1" applyFont="1" applyFill="1"/>
    <xf numFmtId="0" fontId="26" fillId="0" borderId="18" xfId="0" applyFont="1" applyBorder="1" applyAlignment="1">
      <alignment vertical="center" wrapText="1"/>
    </xf>
    <xf numFmtId="0" fontId="26" fillId="0" borderId="18" xfId="0" applyFont="1" applyBorder="1" applyAlignment="1">
      <alignment horizontal="right" vertical="center" wrapText="1"/>
    </xf>
    <xf numFmtId="193" fontId="24" fillId="0" borderId="0" xfId="0" applyNumberFormat="1" applyFont="1" applyAlignment="1">
      <alignment horizontal="left"/>
    </xf>
    <xf numFmtId="0" fontId="26" fillId="0" borderId="19" xfId="0" applyFont="1" applyBorder="1" applyAlignment="1">
      <alignment vertical="center" wrapText="1"/>
    </xf>
    <xf numFmtId="184" fontId="26" fillId="0" borderId="19" xfId="0" applyNumberFormat="1" applyFont="1" applyBorder="1" applyAlignment="1">
      <alignment horizontal="right" vertical="center" wrapText="1"/>
    </xf>
    <xf numFmtId="193" fontId="24" fillId="0" borderId="0" xfId="0" applyNumberFormat="1" applyFont="1"/>
    <xf numFmtId="0" fontId="26" fillId="6" borderId="0" xfId="0" applyFont="1" applyFill="1" applyAlignment="1">
      <alignment horizontal="right"/>
    </xf>
    <xf numFmtId="183" fontId="26" fillId="6" borderId="0" xfId="4" applyNumberFormat="1" applyFont="1" applyFill="1"/>
    <xf numFmtId="0" fontId="24" fillId="0" borderId="21" xfId="0" applyFont="1" applyBorder="1" applyAlignment="1">
      <alignment vertical="center" wrapText="1"/>
    </xf>
    <xf numFmtId="8" fontId="24" fillId="0" borderId="18" xfId="0" applyNumberFormat="1" applyFont="1" applyBorder="1" applyAlignment="1">
      <alignment vertical="center" wrapText="1"/>
    </xf>
    <xf numFmtId="0" fontId="25" fillId="8" borderId="0" xfId="0" applyFont="1" applyFill="1" applyAlignment="1">
      <alignment vertical="center" wrapText="1"/>
    </xf>
    <xf numFmtId="8" fontId="25" fillId="8" borderId="0" xfId="0" applyNumberFormat="1" applyFont="1" applyFill="1" applyAlignment="1">
      <alignment vertical="center" wrapText="1"/>
    </xf>
    <xf numFmtId="0" fontId="24" fillId="10" borderId="0" xfId="0" applyFont="1" applyFill="1" applyAlignment="1">
      <alignment horizontal="right"/>
    </xf>
    <xf numFmtId="183" fontId="24" fillId="10" borderId="0" xfId="0" applyNumberFormat="1" applyFont="1" applyFill="1"/>
    <xf numFmtId="6" fontId="24" fillId="10" borderId="0" xfId="0" applyNumberFormat="1" applyFont="1" applyFill="1"/>
    <xf numFmtId="183" fontId="24" fillId="0" borderId="0" xfId="0" applyNumberFormat="1" applyFont="1"/>
    <xf numFmtId="2" fontId="24" fillId="7" borderId="0" xfId="0" applyNumberFormat="1" applyFont="1" applyFill="1"/>
    <xf numFmtId="43" fontId="24" fillId="0" borderId="0" xfId="0" applyNumberFormat="1" applyFont="1"/>
    <xf numFmtId="194" fontId="24" fillId="0" borderId="0" xfId="5" applyNumberFormat="1" applyFont="1"/>
    <xf numFmtId="41" fontId="24" fillId="0" borderId="0" xfId="2" applyFont="1" applyBorder="1"/>
    <xf numFmtId="195" fontId="24" fillId="0" borderId="0" xfId="4" applyNumberFormat="1" applyFont="1"/>
    <xf numFmtId="196" fontId="24" fillId="0" borderId="18" xfId="0" applyNumberFormat="1" applyFont="1" applyBorder="1" applyAlignment="1">
      <alignment vertical="center" wrapText="1"/>
    </xf>
    <xf numFmtId="0" fontId="25" fillId="8" borderId="20" xfId="0" applyFont="1" applyFill="1" applyBorder="1" applyAlignment="1">
      <alignment horizontal="center" vertical="center" wrapText="1"/>
    </xf>
    <xf numFmtId="193" fontId="26" fillId="0" borderId="0" xfId="0" applyNumberFormat="1" applyFont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24" fillId="0" borderId="0" xfId="1" applyNumberFormat="1" applyFont="1" applyFill="1" applyBorder="1"/>
    <xf numFmtId="200" fontId="24" fillId="0" borderId="0" xfId="2" applyNumberFormat="1" applyFont="1"/>
    <xf numFmtId="0" fontId="35" fillId="0" borderId="0" xfId="0" applyFont="1" applyAlignment="1">
      <alignment horizontal="center"/>
    </xf>
    <xf numFmtId="183" fontId="0" fillId="0" borderId="0" xfId="0" applyNumberFormat="1"/>
    <xf numFmtId="183" fontId="0" fillId="0" borderId="0" xfId="2" applyNumberFormat="1" applyFont="1"/>
    <xf numFmtId="194" fontId="0" fillId="0" borderId="0" xfId="5" applyNumberFormat="1" applyFont="1"/>
    <xf numFmtId="184" fontId="0" fillId="0" borderId="0" xfId="2" applyNumberFormat="1" applyFont="1"/>
    <xf numFmtId="184" fontId="0" fillId="0" borderId="0" xfId="0" applyNumberFormat="1"/>
    <xf numFmtId="0" fontId="0" fillId="0" borderId="0" xfId="0" applyAlignment="1">
      <alignment horizontal="right"/>
    </xf>
    <xf numFmtId="184" fontId="32" fillId="0" borderId="0" xfId="0" applyNumberFormat="1" applyFont="1" applyAlignment="1">
      <alignment horizontal="right"/>
    </xf>
    <xf numFmtId="2" fontId="32" fillId="0" borderId="0" xfId="2" applyNumberFormat="1" applyFont="1" applyFill="1" applyBorder="1" applyAlignment="1">
      <alignment horizontal="left" vertical="center"/>
    </xf>
    <xf numFmtId="0" fontId="36" fillId="12" borderId="0" xfId="0" applyFont="1" applyFill="1" applyAlignment="1">
      <alignment horizontal="center"/>
    </xf>
    <xf numFmtId="0" fontId="38" fillId="12" borderId="0" xfId="0" applyFont="1" applyFill="1" applyAlignment="1">
      <alignment horizontal="center"/>
    </xf>
    <xf numFmtId="0" fontId="38" fillId="12" borderId="0" xfId="0" applyFont="1" applyFill="1"/>
    <xf numFmtId="0" fontId="36" fillId="12" borderId="0" xfId="0" applyFont="1" applyFill="1"/>
    <xf numFmtId="0" fontId="36" fillId="12" borderId="0" xfId="0" applyFont="1" applyFill="1" applyAlignment="1">
      <alignment horizontal="right"/>
    </xf>
    <xf numFmtId="0" fontId="38" fillId="12" borderId="23" xfId="0" applyFont="1" applyFill="1" applyBorder="1" applyAlignment="1">
      <alignment horizontal="center" wrapText="1"/>
    </xf>
    <xf numFmtId="0" fontId="37" fillId="12" borderId="23" xfId="0" applyFont="1" applyFill="1" applyBorder="1" applyAlignment="1">
      <alignment horizontal="right"/>
    </xf>
    <xf numFmtId="3" fontId="37" fillId="12" borderId="23" xfId="0" applyNumberFormat="1" applyFont="1" applyFill="1" applyBorder="1" applyAlignment="1">
      <alignment horizontal="right"/>
    </xf>
    <xf numFmtId="0" fontId="36" fillId="12" borderId="0" xfId="0" applyFont="1" applyFill="1" applyAlignment="1">
      <alignment horizontal="left" vertical="top"/>
    </xf>
    <xf numFmtId="193" fontId="36" fillId="12" borderId="0" xfId="0" applyNumberFormat="1" applyFont="1" applyFill="1" applyAlignment="1">
      <alignment horizontal="left" vertical="top"/>
    </xf>
    <xf numFmtId="193" fontId="36" fillId="12" borderId="0" xfId="2" applyNumberFormat="1" applyFont="1" applyFill="1" applyBorder="1" applyAlignment="1">
      <alignment horizontal="left" vertical="top"/>
    </xf>
    <xf numFmtId="198" fontId="36" fillId="12" borderId="0" xfId="2" applyNumberFormat="1" applyFont="1" applyFill="1" applyBorder="1" applyAlignment="1">
      <alignment horizontal="left" vertical="top"/>
    </xf>
    <xf numFmtId="197" fontId="36" fillId="12" borderId="0" xfId="0" applyNumberFormat="1" applyFont="1" applyFill="1" applyAlignment="1">
      <alignment horizontal="left" vertical="top"/>
    </xf>
    <xf numFmtId="2" fontId="36" fillId="12" borderId="0" xfId="0" applyNumberFormat="1" applyFont="1" applyFill="1" applyAlignment="1">
      <alignment horizontal="left" vertical="top"/>
    </xf>
    <xf numFmtId="1" fontId="36" fillId="12" borderId="0" xfId="2" applyNumberFormat="1" applyFont="1" applyFill="1" applyBorder="1" applyAlignment="1">
      <alignment horizontal="left" vertical="top"/>
    </xf>
    <xf numFmtId="0" fontId="38" fillId="12" borderId="0" xfId="0" applyFont="1" applyFill="1" applyAlignment="1">
      <alignment horizontal="left" vertical="top"/>
    </xf>
    <xf numFmtId="1" fontId="38" fillId="12" borderId="0" xfId="2" applyNumberFormat="1" applyFont="1" applyFill="1" applyBorder="1" applyAlignment="1">
      <alignment horizontal="center"/>
    </xf>
    <xf numFmtId="198" fontId="38" fillId="12" borderId="0" xfId="0" applyNumberFormat="1" applyFont="1" applyFill="1" applyAlignment="1">
      <alignment horizontal="center"/>
    </xf>
    <xf numFmtId="177" fontId="38" fillId="12" borderId="0" xfId="2" applyNumberFormat="1" applyFont="1" applyFill="1" applyBorder="1" applyAlignment="1">
      <alignment horizontal="center"/>
    </xf>
    <xf numFmtId="186" fontId="38" fillId="12" borderId="0" xfId="0" applyNumberFormat="1" applyFont="1" applyFill="1" applyAlignment="1">
      <alignment horizontal="center"/>
    </xf>
    <xf numFmtId="201" fontId="38" fillId="12" borderId="0" xfId="0" applyNumberFormat="1" applyFont="1" applyFill="1" applyAlignment="1">
      <alignment horizontal="right"/>
    </xf>
    <xf numFmtId="199" fontId="36" fillId="12" borderId="0" xfId="0" applyNumberFormat="1" applyFont="1" applyFill="1" applyAlignment="1">
      <alignment horizontal="right"/>
    </xf>
    <xf numFmtId="198" fontId="36" fillId="12" borderId="0" xfId="0" applyNumberFormat="1" applyFont="1" applyFill="1"/>
    <xf numFmtId="1" fontId="36" fillId="12" borderId="0" xfId="0" applyNumberFormat="1" applyFont="1" applyFill="1"/>
    <xf numFmtId="0" fontId="36" fillId="12" borderId="0" xfId="0" applyFont="1" applyFill="1" applyAlignment="1">
      <alignment horizontal="right" wrapText="1"/>
    </xf>
    <xf numFmtId="193" fontId="36" fillId="12" borderId="0" xfId="0" applyNumberFormat="1" applyFont="1" applyFill="1"/>
    <xf numFmtId="2" fontId="36" fillId="12" borderId="0" xfId="0" applyNumberFormat="1" applyFont="1" applyFill="1"/>
    <xf numFmtId="41" fontId="36" fillId="12" borderId="0" xfId="2" applyFont="1" applyFill="1" applyBorder="1" applyAlignment="1">
      <alignment horizontal="right"/>
    </xf>
    <xf numFmtId="197" fontId="36" fillId="12" borderId="0" xfId="0" applyNumberFormat="1" applyFont="1" applyFill="1"/>
    <xf numFmtId="0" fontId="36" fillId="12" borderId="7" xfId="0" applyFont="1" applyFill="1" applyBorder="1" applyAlignment="1">
      <alignment horizontal="left" vertical="top"/>
    </xf>
    <xf numFmtId="193" fontId="36" fillId="12" borderId="7" xfId="0" applyNumberFormat="1" applyFont="1" applyFill="1" applyBorder="1" applyAlignment="1">
      <alignment horizontal="left" vertical="top"/>
    </xf>
    <xf numFmtId="193" fontId="36" fillId="12" borderId="7" xfId="2" applyNumberFormat="1" applyFont="1" applyFill="1" applyBorder="1" applyAlignment="1">
      <alignment horizontal="left" vertical="top"/>
    </xf>
    <xf numFmtId="198" fontId="36" fillId="12" borderId="7" xfId="2" applyNumberFormat="1" applyFont="1" applyFill="1" applyBorder="1" applyAlignment="1">
      <alignment horizontal="left" vertical="top"/>
    </xf>
    <xf numFmtId="197" fontId="36" fillId="12" borderId="7" xfId="0" applyNumberFormat="1" applyFont="1" applyFill="1" applyBorder="1" applyAlignment="1">
      <alignment horizontal="left" vertical="top"/>
    </xf>
    <xf numFmtId="2" fontId="36" fillId="12" borderId="7" xfId="0" applyNumberFormat="1" applyFont="1" applyFill="1" applyBorder="1" applyAlignment="1">
      <alignment horizontal="left" vertical="top"/>
    </xf>
    <xf numFmtId="0" fontId="38" fillId="12" borderId="7" xfId="0" applyFont="1" applyFill="1" applyBorder="1" applyAlignment="1">
      <alignment horizontal="left" vertical="top"/>
    </xf>
    <xf numFmtId="0" fontId="38" fillId="12" borderId="7" xfId="0" applyFont="1" applyFill="1" applyBorder="1" applyAlignment="1">
      <alignment horizontal="center"/>
    </xf>
    <xf numFmtId="1" fontId="38" fillId="12" borderId="7" xfId="2" applyNumberFormat="1" applyFont="1" applyFill="1" applyBorder="1" applyAlignment="1">
      <alignment horizontal="center"/>
    </xf>
    <xf numFmtId="198" fontId="38" fillId="12" borderId="7" xfId="0" applyNumberFormat="1" applyFont="1" applyFill="1" applyBorder="1" applyAlignment="1">
      <alignment horizontal="center"/>
    </xf>
    <xf numFmtId="177" fontId="38" fillId="12" borderId="7" xfId="2" applyNumberFormat="1" applyFont="1" applyFill="1" applyBorder="1" applyAlignment="1">
      <alignment horizontal="center"/>
    </xf>
    <xf numFmtId="186" fontId="38" fillId="12" borderId="7" xfId="0" applyNumberFormat="1" applyFont="1" applyFill="1" applyBorder="1" applyAlignment="1">
      <alignment horizontal="center"/>
    </xf>
    <xf numFmtId="201" fontId="38" fillId="12" borderId="7" xfId="0" applyNumberFormat="1" applyFont="1" applyFill="1" applyBorder="1" applyAlignment="1">
      <alignment horizontal="right"/>
    </xf>
    <xf numFmtId="199" fontId="36" fillId="12" borderId="7" xfId="0" applyNumberFormat="1" applyFont="1" applyFill="1" applyBorder="1" applyAlignment="1">
      <alignment horizontal="right"/>
    </xf>
    <xf numFmtId="0" fontId="36" fillId="12" borderId="7" xfId="0" applyFont="1" applyFill="1" applyBorder="1"/>
    <xf numFmtId="182" fontId="36" fillId="12" borderId="0" xfId="0" applyNumberFormat="1" applyFont="1" applyFill="1" applyAlignment="1">
      <alignment horizontal="left" vertical="top"/>
    </xf>
    <xf numFmtId="197" fontId="38" fillId="12" borderId="0" xfId="0" applyNumberFormat="1" applyFont="1" applyFill="1" applyAlignment="1">
      <alignment horizontal="center"/>
    </xf>
    <xf numFmtId="182" fontId="36" fillId="12" borderId="7" xfId="0" applyNumberFormat="1" applyFont="1" applyFill="1" applyBorder="1" applyAlignment="1">
      <alignment horizontal="left" vertical="top"/>
    </xf>
    <xf numFmtId="0" fontId="36" fillId="12" borderId="7" xfId="0" applyFont="1" applyFill="1" applyBorder="1" applyAlignment="1">
      <alignment horizontal="center"/>
    </xf>
    <xf numFmtId="0" fontId="37" fillId="12" borderId="23" xfId="0" applyFont="1" applyFill="1" applyBorder="1" applyAlignment="1">
      <alignment horizontal="left" wrapText="1"/>
    </xf>
    <xf numFmtId="0" fontId="38" fillId="12" borderId="23" xfId="0" applyFont="1" applyFill="1" applyBorder="1" applyAlignment="1">
      <alignment horizontal="left" wrapText="1"/>
    </xf>
    <xf numFmtId="0" fontId="37" fillId="12" borderId="0" xfId="0" applyFont="1" applyFill="1" applyAlignment="1">
      <alignment horizontal="left"/>
    </xf>
    <xf numFmtId="0" fontId="37" fillId="12" borderId="23" xfId="0" applyFont="1" applyFill="1" applyBorder="1" applyAlignment="1">
      <alignment horizontal="center" wrapText="1"/>
    </xf>
    <xf numFmtId="0" fontId="39" fillId="12" borderId="0" xfId="0" applyFont="1" applyFill="1" applyAlignment="1">
      <alignment horizontal="left"/>
    </xf>
    <xf numFmtId="0" fontId="39" fillId="12" borderId="0" xfId="0" applyFont="1" applyFill="1" applyAlignment="1">
      <alignment horizontal="center"/>
    </xf>
    <xf numFmtId="0" fontId="40" fillId="12" borderId="0" xfId="0" applyFont="1" applyFill="1" applyAlignment="1">
      <alignment horizontal="center"/>
    </xf>
    <xf numFmtId="0" fontId="40" fillId="12" borderId="0" xfId="0" applyFont="1" applyFill="1"/>
    <xf numFmtId="0" fontId="39" fillId="12" borderId="0" xfId="0" applyFont="1" applyFill="1"/>
    <xf numFmtId="0" fontId="39" fillId="12" borderId="0" xfId="0" applyFont="1" applyFill="1" applyAlignment="1">
      <alignment horizontal="right"/>
    </xf>
    <xf numFmtId="0" fontId="40" fillId="12" borderId="0" xfId="0" applyFont="1" applyFill="1" applyAlignment="1">
      <alignment horizontal="right"/>
    </xf>
    <xf numFmtId="6" fontId="43" fillId="12" borderId="0" xfId="2" applyNumberFormat="1" applyFont="1" applyFill="1" applyBorder="1" applyAlignment="1">
      <alignment horizontal="right" vertical="top"/>
    </xf>
    <xf numFmtId="0" fontId="0" fillId="0" borderId="22" xfId="0" applyBorder="1"/>
    <xf numFmtId="2" fontId="24" fillId="0" borderId="11" xfId="0" applyNumberFormat="1" applyFont="1" applyBorder="1"/>
    <xf numFmtId="0" fontId="0" fillId="0" borderId="15" xfId="0" applyBorder="1"/>
    <xf numFmtId="0" fontId="31" fillId="0" borderId="22" xfId="0" applyFont="1" applyBorder="1"/>
    <xf numFmtId="0" fontId="0" fillId="0" borderId="26" xfId="0" applyBorder="1"/>
    <xf numFmtId="193" fontId="0" fillId="0" borderId="0" xfId="0" applyNumberFormat="1"/>
    <xf numFmtId="41" fontId="0" fillId="0" borderId="0" xfId="2" applyFont="1"/>
    <xf numFmtId="202" fontId="0" fillId="0" borderId="0" xfId="2" applyNumberFormat="1" applyFont="1"/>
    <xf numFmtId="0" fontId="0" fillId="0" borderId="7" xfId="0" applyBorder="1"/>
    <xf numFmtId="41" fontId="0" fillId="0" borderId="7" xfId="2" applyFont="1" applyBorder="1"/>
    <xf numFmtId="0" fontId="0" fillId="0" borderId="0" xfId="0" applyAlignment="1">
      <alignment horizontal="right" vertical="center"/>
    </xf>
    <xf numFmtId="9" fontId="0" fillId="0" borderId="0" xfId="5" applyFont="1" applyAlignment="1">
      <alignment horizontal="right" vertical="center"/>
    </xf>
    <xf numFmtId="183" fontId="0" fillId="0" borderId="0" xfId="2" applyNumberFormat="1" applyFont="1" applyAlignment="1">
      <alignment horizontal="right" vertical="center"/>
    </xf>
    <xf numFmtId="194" fontId="0" fillId="0" borderId="0" xfId="5" applyNumberFormat="1" applyFont="1" applyAlignment="1">
      <alignment horizontal="right" vertical="center"/>
    </xf>
    <xf numFmtId="203" fontId="0" fillId="0" borderId="0" xfId="4" applyNumberFormat="1" applyFont="1"/>
    <xf numFmtId="0" fontId="45" fillId="0" borderId="0" xfId="0" applyFont="1"/>
    <xf numFmtId="0" fontId="46" fillId="0" borderId="0" xfId="0" applyFont="1"/>
    <xf numFmtId="0" fontId="45" fillId="0" borderId="0" xfId="0" applyFont="1" applyAlignment="1">
      <alignment horizontal="left"/>
    </xf>
    <xf numFmtId="43" fontId="45" fillId="0" borderId="0" xfId="0" applyNumberFormat="1" applyFont="1"/>
    <xf numFmtId="0" fontId="45" fillId="0" borderId="0" xfId="0" applyFont="1" applyAlignment="1">
      <alignment horizontal="right"/>
    </xf>
    <xf numFmtId="41" fontId="45" fillId="0" borderId="0" xfId="2" applyFont="1" applyBorder="1"/>
    <xf numFmtId="0" fontId="45" fillId="5" borderId="0" xfId="0" applyFont="1" applyFill="1" applyAlignment="1">
      <alignment horizontal="right"/>
    </xf>
    <xf numFmtId="183" fontId="45" fillId="5" borderId="0" xfId="0" applyNumberFormat="1" applyFont="1" applyFill="1"/>
    <xf numFmtId="194" fontId="45" fillId="0" borderId="0" xfId="5" applyNumberFormat="1" applyFont="1" applyBorder="1"/>
    <xf numFmtId="18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41" fontId="47" fillId="0" borderId="0" xfId="2" applyFont="1" applyBorder="1" applyAlignment="1">
      <alignment horizontal="right"/>
    </xf>
    <xf numFmtId="183" fontId="47" fillId="0" borderId="0" xfId="0" applyNumberFormat="1" applyFont="1" applyAlignment="1">
      <alignment horizontal="right"/>
    </xf>
    <xf numFmtId="194" fontId="46" fillId="0" borderId="0" xfId="5" applyNumberFormat="1" applyFont="1" applyBorder="1"/>
    <xf numFmtId="193" fontId="24" fillId="0" borderId="0" xfId="0" applyNumberFormat="1" applyFont="1" applyAlignment="1">
      <alignment horizontal="right"/>
    </xf>
    <xf numFmtId="193" fontId="24" fillId="0" borderId="7" xfId="0" applyNumberFormat="1" applyFont="1" applyBorder="1" applyAlignment="1">
      <alignment horizontal="right"/>
    </xf>
    <xf numFmtId="193" fontId="48" fillId="0" borderId="0" xfId="0" applyNumberFormat="1" applyFont="1"/>
    <xf numFmtId="184" fontId="0" fillId="0" borderId="7" xfId="0" applyNumberFormat="1" applyBorder="1"/>
    <xf numFmtId="6" fontId="0" fillId="0" borderId="0" xfId="0" applyNumberFormat="1"/>
    <xf numFmtId="0" fontId="49" fillId="0" borderId="0" xfId="0" applyFont="1"/>
    <xf numFmtId="0" fontId="50" fillId="0" borderId="0" xfId="0" applyFont="1"/>
    <xf numFmtId="6" fontId="49" fillId="0" borderId="0" xfId="0" applyNumberFormat="1" applyFont="1"/>
    <xf numFmtId="183" fontId="0" fillId="0" borderId="0" xfId="2" applyNumberFormat="1" applyFont="1" applyFill="1" applyBorder="1"/>
    <xf numFmtId="204" fontId="0" fillId="0" borderId="0" xfId="2" applyNumberFormat="1" applyFont="1"/>
    <xf numFmtId="203" fontId="49" fillId="0" borderId="0" xfId="0" applyNumberFormat="1" applyFont="1"/>
    <xf numFmtId="0" fontId="0" fillId="0" borderId="0" xfId="0" applyAlignment="1">
      <alignment wrapText="1"/>
    </xf>
    <xf numFmtId="2" fontId="0" fillId="0" borderId="0" xfId="0" applyNumberFormat="1"/>
    <xf numFmtId="204" fontId="0" fillId="0" borderId="0" xfId="0" applyNumberFormat="1"/>
    <xf numFmtId="9" fontId="49" fillId="0" borderId="0" xfId="5" applyFont="1"/>
    <xf numFmtId="41" fontId="38" fillId="12" borderId="0" xfId="2" applyFont="1" applyFill="1" applyBorder="1" applyAlignment="1">
      <alignment horizontal="center"/>
    </xf>
    <xf numFmtId="41" fontId="38" fillId="12" borderId="7" xfId="2" applyFont="1" applyFill="1" applyBorder="1" applyAlignment="1">
      <alignment horizontal="center"/>
    </xf>
    <xf numFmtId="0" fontId="46" fillId="0" borderId="0" xfId="0" applyFont="1" applyAlignment="1">
      <alignment horizontal="right"/>
    </xf>
    <xf numFmtId="0" fontId="51" fillId="0" borderId="0" xfId="0" applyFont="1"/>
    <xf numFmtId="177" fontId="0" fillId="0" borderId="0" xfId="2" applyNumberFormat="1" applyFont="1"/>
    <xf numFmtId="180" fontId="0" fillId="0" borderId="0" xfId="2" applyNumberFormat="1" applyFont="1"/>
    <xf numFmtId="194" fontId="46" fillId="0" borderId="0" xfId="5" applyNumberFormat="1" applyFont="1"/>
    <xf numFmtId="9" fontId="0" fillId="0" borderId="0" xfId="5" applyFont="1"/>
    <xf numFmtId="198" fontId="52" fillId="12" borderId="0" xfId="0" applyNumberFormat="1" applyFont="1" applyFill="1" applyAlignment="1">
      <alignment horizontal="center"/>
    </xf>
    <xf numFmtId="198" fontId="52" fillId="12" borderId="7" xfId="0" applyNumberFormat="1" applyFont="1" applyFill="1" applyBorder="1" applyAlignment="1">
      <alignment horizontal="center"/>
    </xf>
    <xf numFmtId="177" fontId="52" fillId="12" borderId="0" xfId="2" applyNumberFormat="1" applyFont="1" applyFill="1" applyBorder="1" applyAlignment="1">
      <alignment horizontal="center"/>
    </xf>
    <xf numFmtId="177" fontId="52" fillId="12" borderId="7" xfId="2" applyNumberFormat="1" applyFont="1" applyFill="1" applyBorder="1" applyAlignment="1">
      <alignment horizontal="center"/>
    </xf>
    <xf numFmtId="0" fontId="41" fillId="12" borderId="23" xfId="0" applyFont="1" applyFill="1" applyBorder="1" applyAlignment="1">
      <alignment horizontal="right" wrapText="1"/>
    </xf>
    <xf numFmtId="197" fontId="52" fillId="12" borderId="0" xfId="0" applyNumberFormat="1" applyFont="1" applyFill="1" applyAlignment="1">
      <alignment horizontal="center"/>
    </xf>
    <xf numFmtId="197" fontId="52" fillId="12" borderId="7" xfId="0" applyNumberFormat="1" applyFont="1" applyFill="1" applyBorder="1" applyAlignment="1">
      <alignment horizontal="center"/>
    </xf>
    <xf numFmtId="0" fontId="44" fillId="13" borderId="25" xfId="6" applyAlignment="1">
      <alignment horizontal="center"/>
    </xf>
    <xf numFmtId="183" fontId="36" fillId="12" borderId="0" xfId="0" applyNumberFormat="1" applyFont="1" applyFill="1" applyAlignment="1">
      <alignment horizontal="center"/>
    </xf>
    <xf numFmtId="183" fontId="42" fillId="12" borderId="0" xfId="2" applyNumberFormat="1" applyFont="1" applyFill="1" applyBorder="1" applyAlignment="1">
      <alignment horizontal="left" vertical="top"/>
    </xf>
    <xf numFmtId="183" fontId="42" fillId="12" borderId="24" xfId="2" applyNumberFormat="1" applyFont="1" applyFill="1" applyBorder="1" applyAlignment="1">
      <alignment horizontal="left" vertical="top"/>
    </xf>
    <xf numFmtId="183" fontId="43" fillId="12" borderId="0" xfId="2" applyNumberFormat="1" applyFont="1" applyFill="1" applyBorder="1" applyAlignment="1">
      <alignment horizontal="left" vertical="top"/>
    </xf>
    <xf numFmtId="183" fontId="42" fillId="12" borderId="0" xfId="2" applyNumberFormat="1" applyFont="1" applyFill="1" applyAlignment="1">
      <alignment horizontal="left"/>
    </xf>
    <xf numFmtId="183" fontId="41" fillId="12" borderId="23" xfId="2" applyNumberFormat="1" applyFont="1" applyFill="1" applyBorder="1" applyAlignment="1">
      <alignment horizontal="left" wrapText="1"/>
    </xf>
    <xf numFmtId="9" fontId="49" fillId="0" borderId="0" xfId="0" applyNumberFormat="1" applyFont="1"/>
    <xf numFmtId="0" fontId="44" fillId="13" borderId="0" xfId="6" applyBorder="1"/>
    <xf numFmtId="0" fontId="31" fillId="0" borderId="0" xfId="0" applyFont="1"/>
    <xf numFmtId="2" fontId="44" fillId="13" borderId="0" xfId="6" applyNumberFormat="1" applyBorder="1"/>
    <xf numFmtId="0" fontId="31" fillId="0" borderId="22" xfId="0" applyFont="1" applyBorder="1" applyAlignment="1">
      <alignment horizontal="left" vertical="top"/>
    </xf>
    <xf numFmtId="0" fontId="0" fillId="11" borderId="22" xfId="0" applyFill="1" applyBorder="1" applyAlignment="1">
      <alignment horizontal="left" vertical="top"/>
    </xf>
    <xf numFmtId="183" fontId="0" fillId="0" borderId="22" xfId="2" applyNumberFormat="1" applyFont="1" applyBorder="1" applyAlignment="1">
      <alignment horizontal="left" vertical="top"/>
    </xf>
    <xf numFmtId="0" fontId="0" fillId="6" borderId="0" xfId="0" applyFill="1" applyAlignment="1">
      <alignment horizontal="left" vertical="top"/>
    </xf>
    <xf numFmtId="183" fontId="0" fillId="0" borderId="0" xfId="2" applyNumberFormat="1" applyFont="1" applyAlignment="1">
      <alignment horizontal="left" vertical="top"/>
    </xf>
    <xf numFmtId="0" fontId="0" fillId="11" borderId="0" xfId="0" applyFill="1" applyAlignment="1">
      <alignment horizontal="left" vertical="top"/>
    </xf>
    <xf numFmtId="0" fontId="31" fillId="11" borderId="14" xfId="0" applyFont="1" applyFill="1" applyBorder="1" applyAlignment="1">
      <alignment horizontal="left" vertical="top"/>
    </xf>
    <xf numFmtId="183" fontId="31" fillId="0" borderId="14" xfId="0" applyNumberFormat="1" applyFont="1" applyBorder="1" applyAlignment="1">
      <alignment horizontal="left" vertical="top"/>
    </xf>
    <xf numFmtId="0" fontId="31" fillId="0" borderId="15" xfId="0" applyFont="1" applyBorder="1" applyAlignment="1">
      <alignment horizontal="left" vertical="top"/>
    </xf>
    <xf numFmtId="183" fontId="31" fillId="0" borderId="15" xfId="0" applyNumberFormat="1" applyFont="1" applyBorder="1" applyAlignment="1">
      <alignment horizontal="left" vertical="top"/>
    </xf>
    <xf numFmtId="0" fontId="0" fillId="0" borderId="0" xfId="0" applyAlignment="1">
      <alignment horizontal="left" vertical="top"/>
    </xf>
    <xf numFmtId="194" fontId="0" fillId="0" borderId="0" xfId="5" applyNumberFormat="1" applyFont="1" applyAlignment="1">
      <alignment horizontal="left" vertical="top"/>
    </xf>
    <xf numFmtId="184" fontId="0" fillId="0" borderId="0" xfId="2" applyNumberFormat="1" applyFont="1" applyAlignment="1">
      <alignment horizontal="left" vertical="top"/>
    </xf>
    <xf numFmtId="0" fontId="31" fillId="0" borderId="0" xfId="0" applyFont="1" applyAlignment="1">
      <alignment horizontal="left" vertical="top"/>
    </xf>
    <xf numFmtId="183" fontId="0" fillId="0" borderId="0" xfId="2" applyNumberFormat="1" applyFont="1" applyBorder="1" applyAlignment="1">
      <alignment horizontal="left" vertical="top"/>
    </xf>
    <xf numFmtId="9" fontId="0" fillId="0" borderId="0" xfId="5" applyFont="1" applyBorder="1" applyAlignment="1">
      <alignment horizontal="left" vertical="top"/>
    </xf>
    <xf numFmtId="0" fontId="31" fillId="0" borderId="2" xfId="0" applyFont="1" applyBorder="1" applyAlignment="1">
      <alignment horizontal="left" vertical="top"/>
    </xf>
    <xf numFmtId="183" fontId="31" fillId="0" borderId="2" xfId="0" applyNumberFormat="1" applyFont="1" applyBorder="1" applyAlignment="1">
      <alignment horizontal="left" vertical="top"/>
    </xf>
    <xf numFmtId="183" fontId="0" fillId="0" borderId="2" xfId="0" applyNumberFormat="1" applyBorder="1" applyAlignment="1">
      <alignment horizontal="left" vertical="top"/>
    </xf>
    <xf numFmtId="194" fontId="31" fillId="0" borderId="14" xfId="5" applyNumberFormat="1" applyFont="1" applyBorder="1" applyAlignment="1">
      <alignment horizontal="left" vertical="top"/>
    </xf>
    <xf numFmtId="1" fontId="44" fillId="13" borderId="0" xfId="6" applyNumberFormat="1" applyBorder="1"/>
    <xf numFmtId="0" fontId="44" fillId="0" borderId="0" xfId="6" applyFill="1" applyBorder="1"/>
    <xf numFmtId="173" fontId="0" fillId="0" borderId="0" xfId="0" applyNumberFormat="1"/>
    <xf numFmtId="1" fontId="0" fillId="0" borderId="0" xfId="0" applyNumberFormat="1"/>
    <xf numFmtId="173" fontId="0" fillId="0" borderId="0" xfId="5" applyNumberFormat="1" applyFont="1"/>
    <xf numFmtId="193" fontId="44" fillId="13" borderId="0" xfId="6" applyNumberFormat="1" applyBorder="1"/>
    <xf numFmtId="0" fontId="31" fillId="0" borderId="7" xfId="0" applyFont="1" applyBorder="1"/>
    <xf numFmtId="0" fontId="53" fillId="0" borderId="0" xfId="7"/>
    <xf numFmtId="3" fontId="0" fillId="0" borderId="7" xfId="2" applyNumberFormat="1" applyFont="1" applyBorder="1"/>
    <xf numFmtId="3" fontId="0" fillId="14" borderId="7" xfId="2" applyNumberFormat="1" applyFont="1" applyFill="1" applyBorder="1"/>
    <xf numFmtId="164" fontId="5" fillId="0" borderId="0" xfId="2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" xfId="0" applyFont="1" applyBorder="1" applyAlignment="1">
      <alignment horizontal="center" vertical="center" textRotation="90"/>
    </xf>
    <xf numFmtId="0" fontId="3" fillId="0" borderId="4" xfId="0" applyFont="1" applyBorder="1" applyAlignment="1">
      <alignment horizontal="center" vertical="center" textRotation="90"/>
    </xf>
    <xf numFmtId="0" fontId="3" fillId="0" borderId="8" xfId="0" applyFont="1" applyBorder="1" applyAlignment="1">
      <alignment horizontal="center" vertical="center" textRotation="90"/>
    </xf>
    <xf numFmtId="0" fontId="3" fillId="0" borderId="9" xfId="0" applyFont="1" applyBorder="1" applyAlignment="1">
      <alignment horizontal="center" vertical="center" textRotation="90"/>
    </xf>
    <xf numFmtId="164" fontId="5" fillId="0" borderId="0" xfId="2" applyNumberFormat="1" applyFont="1" applyAlignment="1">
      <alignment horizontal="center" vertical="center"/>
    </xf>
    <xf numFmtId="42" fontId="44" fillId="13" borderId="0" xfId="4" applyFont="1" applyFill="1" applyBorder="1"/>
    <xf numFmtId="42" fontId="0" fillId="0" borderId="0" xfId="4" applyFont="1"/>
    <xf numFmtId="44" fontId="0" fillId="0" borderId="0" xfId="0" applyNumberFormat="1"/>
    <xf numFmtId="10" fontId="0" fillId="0" borderId="0" xfId="5" applyNumberFormat="1" applyFont="1"/>
    <xf numFmtId="10" fontId="44" fillId="13" borderId="25" xfId="6" applyNumberFormat="1"/>
  </cellXfs>
  <cellStyles count="8">
    <cellStyle name="Comma" xfId="1" builtinId="3"/>
    <cellStyle name="Comma [0]" xfId="2" builtinId="6"/>
    <cellStyle name="Currency" xfId="3" builtinId="4"/>
    <cellStyle name="Currency [0]" xfId="4" builtinId="7"/>
    <cellStyle name="Hyperlink" xfId="7" builtinId="8"/>
    <cellStyle name="Input" xfId="6" builtinId="20"/>
    <cellStyle name="Normal" xfId="0" builtinId="0"/>
    <cellStyle name="Percent" xfId="5" builtinId="5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81" formatCode="0\ &quot;psi&quot;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81" formatCode="0\ &quot;psi&quot;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89" formatCode="&quot;$&quot;#,##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89" formatCode="&quot;$&quot;#,##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8" formatCode="#,##0\ &quot;kW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8" formatCode="#,##0\ &quot;kW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2" formatCode="0.0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2" formatCode="0.0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7" formatCode="_-* #,##0.00000_-;\-* #,##0.0000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90" formatCode="0.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0" formatCode="0.000\ &quot;mm&quot;"/>
      <fill>
        <patternFill patternType="solid">
          <fgColor indexed="64"/>
          <bgColor theme="3" tint="0.8999908444471571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0" formatCode="0.0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9" formatCode="0.0000\ &quot;m/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9" formatCode="0.0000\ &quot;m/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4" formatCode="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4" formatCode="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Osaka"/>
        <family val="2"/>
        <charset val="128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Osaka"/>
        <family val="2"/>
        <charset val="128"/>
        <scheme val="none"/>
      </font>
      <alignment horizontal="right" vertical="bottom" textRotation="0" wrapText="0" indent="0" justifyLastLine="0" shrinkToFit="0" readingOrder="0"/>
    </dxf>
    <dxf>
      <numFmt numFmtId="204" formatCode="#,##0.0\ &quot;kg/month&quot;"/>
    </dxf>
    <dxf>
      <numFmt numFmtId="183" formatCode="&quot;$&quot;#,##0"/>
    </dxf>
  </dxfs>
  <tableStyles count="0" defaultTableStyle="TableStyleMedium2" defaultPivotStyle="PivotStyleLight16"/>
  <colors>
    <mruColors>
      <color rgb="FF3F9FCC"/>
      <color rgb="FF18719A"/>
      <color rgb="FF145E7F"/>
      <color rgb="FFFFF700"/>
      <color rgb="FF10220A"/>
      <color rgb="FF101C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93641407753867"/>
          <c:y val="8.2914605671905062E-2"/>
          <c:w val="0.85036298566428081"/>
          <c:h val="0.83417078865618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Steel!$B$35</c:f>
              <c:strCache>
                <c:ptCount val="1"/>
                <c:pt idx="0">
                  <c:v>Cost of steel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B6B-4E4D-8254-B4640CF3307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6B-4E4D-8254-B4640CF33072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514056009161373"/>
                      <c:h val="9.00360917762309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FB6B-4E4D-8254-B4640CF33072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2694752386649"/>
                      <c:h val="0.323140831377688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B6B-4E4D-8254-B4640CF330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Steel!$C$32:$D$32</c:f>
              <c:strCache>
                <c:ptCount val="2"/>
                <c:pt idx="0">
                  <c:v>Bare</c:v>
                </c:pt>
                <c:pt idx="1">
                  <c:v>Coated</c:v>
                </c:pt>
              </c:strCache>
            </c:strRef>
          </c:cat>
          <c:val>
            <c:numRef>
              <c:f>Steel!$C$35:$D$35</c:f>
              <c:numCache>
                <c:formatCode>"$"#,##0</c:formatCode>
                <c:ptCount val="2"/>
                <c:pt idx="0">
                  <c:v>20320061.093199484</c:v>
                </c:pt>
                <c:pt idx="1">
                  <c:v>14660443.199577643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5-9E46-AE45-74AE6D778E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3"/>
        <c:axId val="836053744"/>
        <c:axId val="807016959"/>
      </c:barChart>
      <c:catAx>
        <c:axId val="8360537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CL"/>
          </a:p>
        </c:txPr>
        <c:crossAx val="807016959"/>
        <c:crosses val="autoZero"/>
        <c:auto val="1"/>
        <c:lblAlgn val="ctr"/>
        <c:lblOffset val="0"/>
        <c:noMultiLvlLbl val="0"/>
      </c:catAx>
      <c:valAx>
        <c:axId val="807016959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83605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06437852210457E-2"/>
          <c:y val="6.6432702191602444E-3"/>
          <c:w val="0.90512598470598515"/>
          <c:h val="0.97671046471177514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SC!$A$6</c:f>
              <c:strCache>
                <c:ptCount val="1"/>
                <c:pt idx="0">
                  <c:v>Shop coating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F9F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6A-C04B-B648-E44A5EAA0BBC}"/>
              </c:ext>
            </c:extLst>
          </c:dPt>
          <c:dLbls>
            <c:dLbl>
              <c:idx val="0"/>
              <c:tx>
                <c:rich>
                  <a:bodyPr rot="0" spcFirstLastPara="1" vertOverflow="clip" horzOverflow="clip" vert="horz" wrap="square" lIns="36576" tIns="18288" rIns="36576" bIns="18288" anchor="ctr" anchorCtr="1">
                    <a:spAutoFit/>
                  </a:bodyPr>
                  <a:lstStyle/>
                  <a:p>
                    <a:pPr>
                      <a:defRPr sz="2800" b="0" i="0" u="none" strike="noStrike" kern="1200" baseline="0">
                        <a:solidFill>
                          <a:schemeClr val="dk2">
                            <a:lumMod val="75000"/>
                          </a:schemeClr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D49D6D3B-70B4-DB4F-A8AB-452BF717AB3C}" type="CELLRANGE">
                      <a:rPr lang="en-US" sz="2800" baseline="0"/>
                      <a:pPr>
                        <a:defRPr sz="2800"/>
                      </a:pPr>
                      <a:t>[CELLRANGE]</a:t>
                    </a:fld>
                    <a:r>
                      <a:rPr lang="en-US" sz="2800" baseline="0"/>
                      <a:t>, </a:t>
                    </a:r>
                    <a:fld id="{E6F2104C-033A-7E40-8501-1BAC42C91E41}" type="SERIESNAME">
                      <a:rPr lang="en-US" sz="2800" baseline="0"/>
                      <a:pPr>
                        <a:defRPr sz="2800"/>
                      </a:pPr>
                      <a:t>[SERIES NAME]</a:t>
                    </a:fld>
                    <a:endParaRPr lang="en-US" sz="2800" baseline="0"/>
                  </a:p>
                </c:rich>
              </c:tx>
              <c:numFmt formatCode="0.00%" sourceLinked="0"/>
              <c:spPr>
                <a:xfrm>
                  <a:off x="0" y="1341480"/>
                  <a:ext cx="2098896" cy="548227"/>
                </a:xfrm>
                <a:solidFill>
                  <a:sysClr val="window" lastClr="FFFFFF">
                    <a:alpha val="67000"/>
                  </a:sysClr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  <a:alpha val="67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2800" b="0" i="0" u="none" strike="noStrike" kern="1200" baseline="0">
                      <a:solidFill>
                        <a:schemeClr val="dk2">
                          <a:lumMod val="7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7934"/>
                        <a:gd name="adj2" fmla="val -42021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0507810116207691"/>
                      <c:h val="0.53276541987197013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06A-C04B-B648-E44A5EAA0BBC}"/>
                </c:ext>
              </c:extLst>
            </c:dLbl>
            <c:numFmt formatCode="0.0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SC!$B$6</c:f>
              <c:numCache>
                <c:formatCode>"$"#,##0</c:formatCode>
                <c:ptCount val="1"/>
                <c:pt idx="0">
                  <c:v>761047.67873947392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SC!$B$9</c15:f>
                <c15:dlblRangeCache>
                  <c:ptCount val="1"/>
                  <c:pt idx="0">
                    <c:v>4.9%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06A-C04B-B648-E44A5EAA0BBC}"/>
            </c:ext>
          </c:extLst>
        </c:ser>
        <c:ser>
          <c:idx val="1"/>
          <c:order val="1"/>
          <c:tx>
            <c:strRef>
              <c:f>SC!$A$7</c:f>
              <c:strCache>
                <c:ptCount val="1"/>
                <c:pt idx="0">
                  <c:v>Steel cost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14F-DC47-9034-EC54DDB0D48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2800" b="0" i="0" u="none" strike="noStrike" kern="1200" baseline="0">
                        <a:solidFill>
                          <a:schemeClr val="tx2"/>
                        </a:solidFill>
                        <a:latin typeface="Times New Roman" panose="02020603050405020304" pitchFamily="18" charset="0"/>
                        <a:ea typeface="+mn-ea"/>
                        <a:cs typeface="Times New Roman" panose="02020603050405020304" pitchFamily="18" charset="0"/>
                      </a:defRPr>
                    </a:pPr>
                    <a:fld id="{6ABD22FD-456A-8D4C-9B4C-C6736FF1CE58}" type="CELLRANGE">
                      <a:rPr lang="en-US" sz="2800" baseline="0"/>
                      <a:pPr>
                        <a:defRPr sz="2800"/>
                      </a:pPr>
                      <a:t>[CELLRANGE]</a:t>
                    </a:fld>
                    <a:r>
                      <a:rPr lang="en-US" sz="2800" baseline="0"/>
                      <a:t>, </a:t>
                    </a:r>
                    <a:fld id="{5D8DE649-6699-AE43-B69A-8DC04E870A69}" type="SERIESNAME">
                      <a:rPr lang="en-US" sz="2800" baseline="0"/>
                      <a:pPr>
                        <a:defRPr sz="2800"/>
                      </a:pPr>
                      <a:t>[SERIES NAME]</a:t>
                    </a:fld>
                    <a:endParaRPr lang="en-US" sz="2800" baseline="0"/>
                  </a:p>
                </c:rich>
              </c:tx>
              <c:numFmt formatCode="0.0%" sourceLinked="0"/>
              <c:spPr>
                <a:solidFill>
                  <a:sysClr val="window" lastClr="FFFFFF">
                    <a:alpha val="67000"/>
                  </a:sys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800" b="0" i="0" u="none" strike="noStrike" kern="1200" baseline="0">
                      <a:solidFill>
                        <a:schemeClr val="tx2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589226507509981"/>
                      <c:h val="0.604808683338035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14F-DC47-9034-EC54DDB0D488}"/>
                </c:ext>
              </c:extLst>
            </c:dLbl>
            <c:spPr>
              <a:solidFill>
                <a:sysClr val="window" lastClr="FFFFFF">
                  <a:alpha val="67000"/>
                </a:sysClr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val>
            <c:numRef>
              <c:f>SC!$B$7</c:f>
              <c:numCache>
                <c:formatCode>"$"#,##0</c:formatCode>
                <c:ptCount val="1"/>
                <c:pt idx="0">
                  <c:v>14660443.199577643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SC!$B$10</c15:f>
                <c15:dlblRangeCache>
                  <c:ptCount val="1"/>
                  <c:pt idx="0">
                    <c:v>95.1%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7BE-EF4E-8703-DC138473C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527415615"/>
        <c:axId val="469377968"/>
      </c:barChart>
      <c:valAx>
        <c:axId val="469377968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527415615"/>
        <c:crosses val="autoZero"/>
        <c:crossBetween val="between"/>
      </c:valAx>
      <c:catAx>
        <c:axId val="52741561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69377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0.966065176691417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Charts!$D$18</c:f>
              <c:strCache>
                <c:ptCount val="1"/>
                <c:pt idx="0">
                  <c:v>Extra Inhibitors</c:v>
                </c:pt>
              </c:strCache>
            </c:strRef>
          </c:tx>
          <c:spPr>
            <a:solidFill>
              <a:schemeClr val="accent4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14014474363508"/>
                      <c:h val="0.111508770668341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2-1138-DA43-8824-98E0DC7CD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Charts!$E$18:$F$18</c:f>
              <c:numCache>
                <c:formatCode>"$"#,##0</c:formatCode>
                <c:ptCount val="2"/>
                <c:pt idx="0">
                  <c:v>9475188.9113527965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8-DA43-8824-98E0DC7CD9A1}"/>
            </c:ext>
          </c:extLst>
        </c:ser>
        <c:ser>
          <c:idx val="1"/>
          <c:order val="1"/>
          <c:tx>
            <c:strRef>
              <c:f>Charts!$D$19</c:f>
              <c:strCache>
                <c:ptCount val="1"/>
                <c:pt idx="0">
                  <c:v>Extra Friction Energy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 w="3175"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Helvetica Neue Medium" panose="02000503000000020004" pitchFamily="2" charset="0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993506477280168"/>
                      <c:h val="9.24433906195513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138-DA43-8824-98E0DC7CD9A1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Charts!$E$19:$F$19</c:f>
              <c:numCache>
                <c:formatCode>"$"#,##0</c:formatCode>
                <c:ptCount val="2"/>
                <c:pt idx="0">
                  <c:v>9479670.815946117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38-DA43-8824-98E0DC7CD9A1}"/>
            </c:ext>
          </c:extLst>
        </c:ser>
        <c:ser>
          <c:idx val="2"/>
          <c:order val="2"/>
          <c:tx>
            <c:strRef>
              <c:f>Charts!$D$20</c:f>
              <c:strCache>
                <c:ptCount val="1"/>
                <c:pt idx="0">
                  <c:v>Extra Steel</c:v>
                </c:pt>
              </c:strCache>
            </c:strRef>
          </c:tx>
          <c:spPr>
            <a:solidFill>
              <a:schemeClr val="accent4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138-DA43-8824-98E0DC7CD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Charts!$E$20:$F$20</c:f>
              <c:numCache>
                <c:formatCode>"$"#,##0</c:formatCode>
                <c:ptCount val="2"/>
                <c:pt idx="0">
                  <c:v>5659617.8936218414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38-DA43-8824-98E0DC7CD9A1}"/>
            </c:ext>
          </c:extLst>
        </c:ser>
        <c:ser>
          <c:idx val="3"/>
          <c:order val="3"/>
          <c:tx>
            <c:strRef>
              <c:f>Charts!$D$21</c:f>
              <c:strCache>
                <c:ptCount val="1"/>
                <c:pt idx="0">
                  <c:v>Joint Field Coating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138-DA43-8824-98E0DC7CD9A1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48723460293454"/>
                      <c:h val="0.108665595040129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9CB-CF40-9E8E-FA2000B998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Charts!$E$21:$F$21</c:f>
              <c:numCache>
                <c:formatCode>"$"#,##0</c:formatCode>
                <c:ptCount val="2"/>
                <c:pt idx="1">
                  <c:v>5834000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38-DA43-8824-98E0DC7CD9A1}"/>
            </c:ext>
          </c:extLst>
        </c:ser>
        <c:ser>
          <c:idx val="4"/>
          <c:order val="4"/>
          <c:tx>
            <c:strRef>
              <c:f>Charts!$D$22</c:f>
              <c:strCache>
                <c:ptCount val="1"/>
                <c:pt idx="0">
                  <c:v>Extra Inspections</c:v>
                </c:pt>
              </c:strCache>
            </c:strRef>
          </c:tx>
          <c:spPr>
            <a:solidFill>
              <a:schemeClr val="accent4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8358797491350218"/>
                      <c:h val="8.54910172964464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1138-DA43-8824-98E0DC7CD9A1}"/>
                </c:ext>
              </c:extLst>
            </c:dLbl>
            <c:spPr>
              <a:noFill/>
              <a:ln w="3175"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Charts!$E$22:$F$22</c:f>
              <c:numCache>
                <c:formatCode>"$"#,##0</c:formatCode>
                <c:ptCount val="2"/>
                <c:pt idx="0">
                  <c:v>2541571.2051042202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38-DA43-8824-98E0DC7CD9A1}"/>
            </c:ext>
          </c:extLst>
        </c:ser>
        <c:ser>
          <c:idx val="5"/>
          <c:order val="5"/>
          <c:tx>
            <c:strRef>
              <c:f>Charts!$D$23</c:f>
              <c:strCache>
                <c:ptCount val="1"/>
                <c:pt idx="0">
                  <c:v>Shop Coating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3870633686207726E-3"/>
                  <c:y val="-3.5493666595684648E-2"/>
                </c:manualLayout>
              </c:layout>
              <c:spPr>
                <a:solidFill>
                  <a:schemeClr val="bg1">
                    <a:alpha val="50000"/>
                  </a:schemeClr>
                </a:solidFill>
                <a:ln w="3175"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Helvetica Neue Medium" panose="02000503000000020004" pitchFamily="2" charset="0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0975816378397"/>
                      <c:h val="7.0880395476390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138-DA43-8824-98E0DC7CD9A1}"/>
                </c:ext>
              </c:extLst>
            </c:dLbl>
            <c:spPr>
              <a:noFill/>
              <a:ln w="3175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Charts!$E$23:$F$23</c:f>
              <c:numCache>
                <c:formatCode>"$"#,##0</c:formatCode>
                <c:ptCount val="2"/>
                <c:pt idx="1">
                  <c:v>761047.67873947392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38-DA43-8824-98E0DC7CD9A1}"/>
            </c:ext>
          </c:extLst>
        </c:ser>
        <c:ser>
          <c:idx val="6"/>
          <c:order val="6"/>
          <c:tx>
            <c:strRef>
              <c:f>Charts!$D$24</c:f>
              <c:strCache>
                <c:ptCount val="1"/>
                <c:pt idx="0">
                  <c:v>Dosing Plant</c:v>
                </c:pt>
              </c:strCache>
            </c:strRef>
          </c:tx>
          <c:spPr>
            <a:solidFill>
              <a:schemeClr val="accent4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4099151903730906"/>
                  <c:y val="3.980023168700769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61917623587475"/>
                      <c:h val="6.843198040474103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1138-DA43-8824-98E0DC7CD9A1}"/>
                </c:ext>
              </c:extLst>
            </c:dLbl>
            <c:spPr>
              <a:solidFill>
                <a:schemeClr val="bg1"/>
              </a:solidFill>
              <a:ln w="3175"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Charts!$E$24:$F$24</c:f>
              <c:numCache>
                <c:formatCode>"$"#,##0</c:formatCode>
                <c:ptCount val="2"/>
                <c:pt idx="0">
                  <c:v>272160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38-DA43-8824-98E0DC7CD9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1"/>
        <c:overlap val="100"/>
        <c:axId val="792460480"/>
        <c:axId val="792462192"/>
      </c:barChart>
      <c:catAx>
        <c:axId val="79246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Helvetica Neue Medium" panose="02000503000000020004" pitchFamily="2" charset="0"/>
                <a:cs typeface="Times New Roman" panose="02020603050405020304" pitchFamily="18" charset="0"/>
              </a:defRPr>
            </a:pPr>
            <a:endParaRPr lang="en-CL"/>
          </a:p>
        </c:txPr>
        <c:crossAx val="792462192"/>
        <c:crosses val="autoZero"/>
        <c:auto val="0"/>
        <c:lblAlgn val="ctr"/>
        <c:lblOffset val="100"/>
        <c:noMultiLvlLbl val="0"/>
      </c:catAx>
      <c:valAx>
        <c:axId val="7924621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Helvetica Neue Medium" panose="02000503000000020004" pitchFamily="2" charset="0"/>
                <a:cs typeface="Times New Roman" panose="02020603050405020304" pitchFamily="18" charset="0"/>
              </a:defRPr>
            </a:pPr>
            <a:endParaRPr lang="en-CL"/>
          </a:p>
        </c:txPr>
        <c:crossAx val="79246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 i="0">
          <a:solidFill>
            <a:schemeClr val="bg1"/>
          </a:solidFill>
          <a:latin typeface="Times New Roman" panose="02020603050405020304" pitchFamily="18" charset="0"/>
          <a:ea typeface="Helvetica Neue Medium" panose="02000503000000020004" pitchFamily="2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Charts!$A$49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Charts!$B$47:$B$47</c:f>
              <c:strCache>
                <c:ptCount val="1"/>
                <c:pt idx="0">
                  <c:v>Bare Pipe</c:v>
                </c:pt>
              </c:strCache>
            </c:strRef>
          </c:cat>
          <c:val>
            <c:numRef>
              <c:f>Charts!$B$49:$B$49</c:f>
              <c:numCache>
                <c:formatCode>0.00</c:formatCode>
                <c:ptCount val="1"/>
                <c:pt idx="0">
                  <c:v>34702858.773614489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1-E847-B841-CA49810460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700749551"/>
        <c:axId val="700751279"/>
      </c:barChart>
      <c:catAx>
        <c:axId val="70074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00751279"/>
        <c:crosses val="autoZero"/>
        <c:auto val="1"/>
        <c:lblAlgn val="ctr"/>
        <c:lblOffset val="100"/>
        <c:noMultiLvlLbl val="0"/>
      </c:catAx>
      <c:valAx>
        <c:axId val="700751279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0074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Data_!$O$3</c:f>
              <c:strCache>
                <c:ptCount val="1"/>
                <c:pt idx="0">
                  <c:v>Difference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Data_!$F$4:$F$28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xVal>
          <c:yVal>
            <c:numRef>
              <c:f>Data_!$O$4:$O$28</c:f>
              <c:numCache>
                <c:formatCode>"$"#,##0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A3-A54D-A20B-C9CBA768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061616"/>
        <c:axId val="819063344"/>
      </c:scatterChart>
      <c:valAx>
        <c:axId val="8190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19063344"/>
        <c:crosses val="autoZero"/>
        <c:crossBetween val="midCat"/>
      </c:valAx>
      <c:valAx>
        <c:axId val="8190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1906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defRPr>
            </a:pPr>
            <a:r>
              <a:rPr lang="en-US" b="1" i="0">
                <a:solidFill>
                  <a:schemeClr val="tx1"/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rPr>
              <a:t>Opex Difference</a:t>
            </a:r>
            <a:br>
              <a:rPr lang="en-US" b="1" i="0">
                <a:solidFill>
                  <a:schemeClr val="tx1"/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rPr>
            </a:br>
            <a:r>
              <a:rPr lang="en-US" sz="1200" b="0" i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rPr>
              <a:t>Bare</a:t>
            </a:r>
            <a:r>
              <a:rPr lang="en-US" sz="1200" b="0" i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rPr>
              <a:t> pipe minus FBE coated pipe Energy expenses</a:t>
            </a:r>
            <a:endParaRPr lang="en-US" b="0" i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endParaRPr>
          </a:p>
        </c:rich>
      </c:tx>
      <c:layout>
        <c:manualLayout>
          <c:xMode val="edge"/>
          <c:yMode val="edge"/>
          <c:x val="0.38141496577791045"/>
          <c:y val="0.5105082145213549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88337777753013"/>
          <c:y val="2.8644170456528659E-2"/>
          <c:w val="0.83208242973527469"/>
          <c:h val="0.7898860724887885"/>
        </c:manualLayout>
      </c:layout>
      <c:lineChart>
        <c:grouping val="standard"/>
        <c:varyColors val="0"/>
        <c:ser>
          <c:idx val="0"/>
          <c:order val="0"/>
          <c:tx>
            <c:strRef>
              <c:f>Data_!$O$3</c:f>
              <c:strCache>
                <c:ptCount val="1"/>
                <c:pt idx="0">
                  <c:v>Difference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Data_!$F$4:$F$28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Data_!$O$4:$O$28</c:f>
              <c:numCache>
                <c:formatCode>"$"#,##0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2-7845-855F-A55D9747A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46192"/>
        <c:axId val="577947904"/>
      </c:lineChart>
      <c:catAx>
        <c:axId val="57794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of Operation</a:t>
                </a:r>
              </a:p>
            </c:rich>
          </c:tx>
          <c:layout>
            <c:manualLayout>
              <c:xMode val="edge"/>
              <c:yMode val="edge"/>
              <c:x val="0.47682795551006457"/>
              <c:y val="0.915810219082322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577947904"/>
        <c:crosses val="autoZero"/>
        <c:auto val="1"/>
        <c:lblAlgn val="ctr"/>
        <c:lblOffset val="100"/>
        <c:noMultiLvlLbl val="0"/>
      </c:catAx>
      <c:valAx>
        <c:axId val="577947904"/>
        <c:scaling>
          <c:orientation val="minMax"/>
          <c:max val="530000"/>
          <c:min val="4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Expenditure Diffrence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7540056369891806E-3"/>
              <c:y val="8.96915069449434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57794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effectLst/>
              </a:rPr>
              <a:t>Comparison of Costs</a:t>
            </a:r>
            <a:br>
              <a:rPr lang="en-US" b="1">
                <a:effectLst/>
              </a:rPr>
            </a:br>
            <a:r>
              <a:rPr lang="en-US" sz="800" b="0" i="0">
                <a:effectLst/>
                <a:latin typeface="Helvetica Neue Light" panose="02000403000000020004" pitchFamily="2" charset="0"/>
                <a:ea typeface="Helvetica Neue Light" panose="02000403000000020004" pitchFamily="2" charset="0"/>
              </a:rPr>
              <a:t>Contribution of each item to the total cost</a:t>
            </a:r>
            <a:endParaRPr lang="en-US" b="0" i="0">
              <a:effectLst/>
              <a:latin typeface="Helvetica Neue Light" panose="02000403000000020004" pitchFamily="2" charset="0"/>
              <a:ea typeface="Helvetica Neue Light" panose="02000403000000020004" pitchFamily="2" charset="0"/>
            </a:endParaRPr>
          </a:p>
        </c:rich>
      </c:tx>
      <c:layout>
        <c:manualLayout>
          <c:xMode val="edge"/>
          <c:yMode val="edge"/>
          <c:x val="0.47638188976377954"/>
          <c:y val="6.4814814814814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251131266640865E-2"/>
          <c:y val="4.5520708326885512E-2"/>
          <c:w val="0.90474886873335914"/>
          <c:h val="0.85850405947497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Data_!$I$69</c:f>
              <c:strCache>
                <c:ptCount val="1"/>
                <c:pt idx="0">
                  <c:v>FBE Inner Coating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Data_!$G$70:$G$76</c:f>
              <c:strCache>
                <c:ptCount val="7"/>
                <c:pt idx="0">
                  <c:v>Energy</c:v>
                </c:pt>
                <c:pt idx="1">
                  <c:v>Steel</c:v>
                </c:pt>
                <c:pt idx="2">
                  <c:v> Inhibitors</c:v>
                </c:pt>
                <c:pt idx="3">
                  <c:v>Robotic coating</c:v>
                </c:pt>
                <c:pt idx="4">
                  <c:v>Coating</c:v>
                </c:pt>
                <c:pt idx="5">
                  <c:v> Inspections</c:v>
                </c:pt>
                <c:pt idx="6">
                  <c:v>Dosing Plant</c:v>
                </c:pt>
              </c:strCache>
            </c:strRef>
          </c:cat>
          <c:val>
            <c:numRef>
              <c:f>Data_!$I$70:$I$76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3-9047-9373-7C694A9250B2}"/>
            </c:ext>
          </c:extLst>
        </c:ser>
        <c:ser>
          <c:idx val="1"/>
          <c:order val="1"/>
          <c:tx>
            <c:strRef>
              <c:f>Data_!$H$69</c:f>
              <c:strCache>
                <c:ptCount val="1"/>
                <c:pt idx="0">
                  <c:v>Bare Pipe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Data_!$G$70:$G$76</c:f>
              <c:strCache>
                <c:ptCount val="7"/>
                <c:pt idx="0">
                  <c:v>Energy</c:v>
                </c:pt>
                <c:pt idx="1">
                  <c:v>Steel</c:v>
                </c:pt>
                <c:pt idx="2">
                  <c:v> Inhibitors</c:v>
                </c:pt>
                <c:pt idx="3">
                  <c:v>Robotic coating</c:v>
                </c:pt>
                <c:pt idx="4">
                  <c:v>Coating</c:v>
                </c:pt>
                <c:pt idx="5">
                  <c:v> Inspections</c:v>
                </c:pt>
                <c:pt idx="6">
                  <c:v>Dosing Plant</c:v>
                </c:pt>
              </c:strCache>
            </c:strRef>
          </c:cat>
          <c:val>
            <c:numRef>
              <c:f>Data_!$H$70:$H$76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3-9047-9373-7C694A925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048231088"/>
        <c:axId val="2048232800"/>
      </c:barChart>
      <c:catAx>
        <c:axId val="2048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2800"/>
        <c:crosses val="autoZero"/>
        <c:auto val="1"/>
        <c:lblAlgn val="ctr"/>
        <c:lblOffset val="100"/>
        <c:noMultiLvlLbl val="0"/>
      </c:catAx>
      <c:valAx>
        <c:axId val="20482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 of $</a:t>
                </a:r>
              </a:p>
            </c:rich>
          </c:tx>
          <c:layout>
            <c:manualLayout>
              <c:xMode val="edge"/>
              <c:yMode val="edge"/>
              <c:x val="9.600809110647745E-4"/>
              <c:y val="0.3332257274414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773556430446195"/>
          <c:y val="0.37094852726742494"/>
          <c:w val="0.41737707792768014"/>
          <c:h val="8.6933262825853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effectLst/>
              </a:rPr>
              <a:t>Cost</a:t>
            </a:r>
            <a:r>
              <a:rPr lang="en-US" b="1" baseline="0">
                <a:effectLst/>
              </a:rPr>
              <a:t> Diference Contribution</a:t>
            </a:r>
            <a:br>
              <a:rPr lang="en-US" b="1">
                <a:effectLst/>
              </a:rPr>
            </a:br>
            <a:r>
              <a:rPr lang="en-US" sz="800" b="0" i="0">
                <a:effectLst/>
                <a:latin typeface="Helvetica Neue Light" panose="02000403000000020004" pitchFamily="2" charset="0"/>
                <a:ea typeface="Helvetica Neue Light" panose="02000403000000020004" pitchFamily="2" charset="0"/>
              </a:rPr>
              <a:t>Bare costs FBE costs Delta</a:t>
            </a:r>
            <a:endParaRPr lang="en-US" b="0" i="0">
              <a:effectLst/>
              <a:latin typeface="Helvetica Neue Light" panose="02000403000000020004" pitchFamily="2" charset="0"/>
              <a:ea typeface="Helvetica Neue Light" panose="02000403000000020004" pitchFamily="2" charset="0"/>
            </a:endParaRPr>
          </a:p>
        </c:rich>
      </c:tx>
      <c:layout>
        <c:manualLayout>
          <c:xMode val="edge"/>
          <c:yMode val="edge"/>
          <c:x val="0.47638188976377954"/>
          <c:y val="6.4814814814814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01961084743833E-2"/>
          <c:y val="5.0925925925925923E-2"/>
          <c:w val="0.90698038915256163"/>
          <c:h val="0.836812078095232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Data_!$I$79</c:f>
              <c:strCache>
                <c:ptCount val="1"/>
                <c:pt idx="0">
                  <c:v>FBE Inner Coating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Data_!$G$80:$G$86</c:f>
              <c:strCache>
                <c:ptCount val="7"/>
                <c:pt idx="0">
                  <c:v>Inhibitors</c:v>
                </c:pt>
                <c:pt idx="1">
                  <c:v>Steel</c:v>
                </c:pt>
                <c:pt idx="2">
                  <c:v>Energy</c:v>
                </c:pt>
                <c:pt idx="3">
                  <c:v>Inspections</c:v>
                </c:pt>
                <c:pt idx="4">
                  <c:v>Dosing Plant</c:v>
                </c:pt>
                <c:pt idx="5">
                  <c:v>Robotic coating</c:v>
                </c:pt>
                <c:pt idx="6">
                  <c:v>Coating</c:v>
                </c:pt>
              </c:strCache>
            </c:strRef>
          </c:cat>
          <c:val>
            <c:numRef>
              <c:f>Data_!$I$80:$I$86</c:f>
              <c:numCache>
                <c:formatCode>"$"#,##0.00\ "MM"</c:formatCode>
                <c:ptCount val="7"/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2-8942-BB82-76CF48BA2C33}"/>
            </c:ext>
          </c:extLst>
        </c:ser>
        <c:ser>
          <c:idx val="1"/>
          <c:order val="1"/>
          <c:tx>
            <c:strRef>
              <c:f>Data_!$H$69</c:f>
              <c:strCache>
                <c:ptCount val="1"/>
                <c:pt idx="0">
                  <c:v>Bare Pipe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Data_!$G$80:$G$86</c:f>
              <c:strCache>
                <c:ptCount val="7"/>
                <c:pt idx="0">
                  <c:v>Inhibitors</c:v>
                </c:pt>
                <c:pt idx="1">
                  <c:v>Steel</c:v>
                </c:pt>
                <c:pt idx="2">
                  <c:v>Energy</c:v>
                </c:pt>
                <c:pt idx="3">
                  <c:v>Inspections</c:v>
                </c:pt>
                <c:pt idx="4">
                  <c:v>Dosing Plant</c:v>
                </c:pt>
                <c:pt idx="5">
                  <c:v>Robotic coating</c:v>
                </c:pt>
                <c:pt idx="6">
                  <c:v>Coating</c:v>
                </c:pt>
              </c:strCache>
            </c:strRef>
          </c:cat>
          <c:val>
            <c:numRef>
              <c:f>Data_!$H$80:$H$86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72-8942-BB82-76CF48BA2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2048231088"/>
        <c:axId val="2048232800"/>
      </c:barChart>
      <c:catAx>
        <c:axId val="2048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2800"/>
        <c:crosses val="autoZero"/>
        <c:auto val="1"/>
        <c:lblAlgn val="ctr"/>
        <c:lblOffset val="100"/>
        <c:noMultiLvlLbl val="0"/>
      </c:catAx>
      <c:valAx>
        <c:axId val="20482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Millions of $</a:t>
                </a:r>
              </a:p>
            </c:rich>
          </c:tx>
          <c:layout>
            <c:manualLayout>
              <c:xMode val="edge"/>
              <c:yMode val="edge"/>
              <c:x val="4.4412527650207218E-3"/>
              <c:y val="0.3332257274414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6625721488329236"/>
          <c:y val="0.262488688571127"/>
          <c:w val="0.41737707792768014"/>
          <c:h val="8.6933262825853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13" Type="http://schemas.openxmlformats.org/officeDocument/2006/relationships/customXml" Target="../ink/ink8.xml"/><Relationship Id="rId18" Type="http://schemas.openxmlformats.org/officeDocument/2006/relationships/customXml" Target="../ink/ink11.xml"/><Relationship Id="rId3" Type="http://schemas.openxmlformats.org/officeDocument/2006/relationships/customXml" Target="../ink/ink1.xml"/><Relationship Id="rId21" Type="http://schemas.openxmlformats.org/officeDocument/2006/relationships/customXml" Target="../ink/ink13.xml"/><Relationship Id="rId7" Type="http://schemas.openxmlformats.org/officeDocument/2006/relationships/customXml" Target="../ink/ink3.xml"/><Relationship Id="rId12" Type="http://schemas.openxmlformats.org/officeDocument/2006/relationships/image" Target="../media/image4.png"/><Relationship Id="rId17" Type="http://schemas.openxmlformats.org/officeDocument/2006/relationships/image" Target="../media/image60.png"/><Relationship Id="rId25" Type="http://schemas.openxmlformats.org/officeDocument/2006/relationships/chart" Target="../charts/chart8.xml"/><Relationship Id="rId2" Type="http://schemas.openxmlformats.org/officeDocument/2006/relationships/chart" Target="../charts/chart5.xml"/><Relationship Id="rId16" Type="http://schemas.openxmlformats.org/officeDocument/2006/relationships/customXml" Target="../ink/ink10.xml"/><Relationship Id="rId20" Type="http://schemas.openxmlformats.org/officeDocument/2006/relationships/customXml" Target="../ink/ink12.xml"/><Relationship Id="rId1" Type="http://schemas.openxmlformats.org/officeDocument/2006/relationships/image" Target="../media/image12.png"/><Relationship Id="rId6" Type="http://schemas.openxmlformats.org/officeDocument/2006/relationships/image" Target="../media/image30.png"/><Relationship Id="rId11" Type="http://schemas.openxmlformats.org/officeDocument/2006/relationships/customXml" Target="../ink/ink7.xml"/><Relationship Id="rId24" Type="http://schemas.openxmlformats.org/officeDocument/2006/relationships/chart" Target="../charts/chart7.xml"/><Relationship Id="rId5" Type="http://schemas.openxmlformats.org/officeDocument/2006/relationships/customXml" Target="../ink/ink2.xml"/><Relationship Id="rId15" Type="http://schemas.openxmlformats.org/officeDocument/2006/relationships/image" Target="../media/image50.png"/><Relationship Id="rId23" Type="http://schemas.openxmlformats.org/officeDocument/2006/relationships/image" Target="../media/image13.png"/><Relationship Id="rId10" Type="http://schemas.openxmlformats.org/officeDocument/2006/relationships/customXml" Target="../ink/ink6.xml"/><Relationship Id="rId19" Type="http://schemas.openxmlformats.org/officeDocument/2006/relationships/image" Target="../media/image70.png"/><Relationship Id="rId4" Type="http://schemas.openxmlformats.org/officeDocument/2006/relationships/image" Target="../media/image20.png"/><Relationship Id="rId9" Type="http://schemas.openxmlformats.org/officeDocument/2006/relationships/customXml" Target="../ink/ink5.xml"/><Relationship Id="rId14" Type="http://schemas.openxmlformats.org/officeDocument/2006/relationships/customXml" Target="../ink/ink9.xml"/><Relationship Id="rId2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67734</xdr:colOff>
      <xdr:row>2</xdr:row>
      <xdr:rowOff>76200</xdr:rowOff>
    </xdr:from>
    <xdr:to>
      <xdr:col>10</xdr:col>
      <xdr:colOff>706284</xdr:colOff>
      <xdr:row>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13852-5239-8D61-7CB3-25CDAF38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5067" y="482600"/>
          <a:ext cx="3957484" cy="101600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5</xdr:col>
      <xdr:colOff>609600</xdr:colOff>
      <xdr:row>30</xdr:row>
      <xdr:rowOff>93134</xdr:rowOff>
    </xdr:from>
    <xdr:to>
      <xdr:col>12</xdr:col>
      <xdr:colOff>457200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DA081-1246-BF31-1B4E-FC2B111F1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25400</xdr:colOff>
      <xdr:row>8</xdr:row>
      <xdr:rowOff>53169</xdr:rowOff>
    </xdr:from>
    <xdr:to>
      <xdr:col>13</xdr:col>
      <xdr:colOff>509222</xdr:colOff>
      <xdr:row>14</xdr:row>
      <xdr:rowOff>8467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A5252-57E0-030D-589E-48AFF9A2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2733" y="1678769"/>
          <a:ext cx="6291956" cy="11744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2497666</xdr:colOff>
      <xdr:row>17</xdr:row>
      <xdr:rowOff>67733</xdr:rowOff>
    </xdr:from>
    <xdr:to>
      <xdr:col>14</xdr:col>
      <xdr:colOff>448732</xdr:colOff>
      <xdr:row>30</xdr:row>
      <xdr:rowOff>42332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ADF4C5-B38A-D267-8190-16168E767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232833</xdr:colOff>
      <xdr:row>2</xdr:row>
      <xdr:rowOff>14111</xdr:rowOff>
    </xdr:from>
    <xdr:to>
      <xdr:col>7</xdr:col>
      <xdr:colOff>299155</xdr:colOff>
      <xdr:row>6</xdr:row>
      <xdr:rowOff>141111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08F4A9-69D0-2D6E-E4FD-0D03A8E74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2366" y="412044"/>
          <a:ext cx="3419122" cy="9059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626533</xdr:colOff>
      <xdr:row>0</xdr:row>
      <xdr:rowOff>143933</xdr:rowOff>
    </xdr:from>
    <xdr:to>
      <xdr:col>20</xdr:col>
      <xdr:colOff>277603</xdr:colOff>
      <xdr:row>22</xdr:row>
      <xdr:rowOff>160866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9ADC8-D688-EBD3-AC6F-3DD3B62AD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4333" y="143933"/>
          <a:ext cx="12097070" cy="4487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7920</xdr:colOff>
      <xdr:row>15</xdr:row>
      <xdr:rowOff>82177</xdr:rowOff>
    </xdr:from>
    <xdr:to>
      <xdr:col>4</xdr:col>
      <xdr:colOff>471543</xdr:colOff>
      <xdr:row>34</xdr:row>
      <xdr:rowOff>132878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BA931B-AED7-C10C-5AF0-5A63E7D8A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155" y="3541059"/>
          <a:ext cx="4161564" cy="3883113"/>
        </a:xfrm>
        <a:prstGeom prst="rect">
          <a:avLst/>
        </a:prstGeom>
      </xdr:spPr>
    </xdr:pic>
    <xdr:clientData/>
  </xdr:twoCellAnchor>
  <xdr:twoCellAnchor editAs="oneCell">
    <xdr:from>
      <xdr:col>0</xdr:col>
      <xdr:colOff>732566</xdr:colOff>
      <xdr:row>35</xdr:row>
      <xdr:rowOff>142472</xdr:rowOff>
    </xdr:from>
    <xdr:to>
      <xdr:col>4</xdr:col>
      <xdr:colOff>186765</xdr:colOff>
      <xdr:row>44</xdr:row>
      <xdr:rowOff>179260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82A6F6-89B7-989B-7331-03F09CAAF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566" y="7635472"/>
          <a:ext cx="3981375" cy="18521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</xdr:rowOff>
    </xdr:from>
    <xdr:to>
      <xdr:col>4</xdr:col>
      <xdr:colOff>52295</xdr:colOff>
      <xdr:row>50</xdr:row>
      <xdr:rowOff>46654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F754CE-9747-BCE5-9BD0-87AE487C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235" y="9510060"/>
          <a:ext cx="3750236" cy="10551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14942</xdr:colOff>
      <xdr:row>50</xdr:row>
      <xdr:rowOff>66086</xdr:rowOff>
    </xdr:from>
    <xdr:to>
      <xdr:col>4</xdr:col>
      <xdr:colOff>291354</xdr:colOff>
      <xdr:row>69</xdr:row>
      <xdr:rowOff>55167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F79D7F-CDD6-0839-0083-D52160B4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177" y="10584674"/>
          <a:ext cx="3974353" cy="38214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28222</xdr:colOff>
      <xdr:row>1</xdr:row>
      <xdr:rowOff>21166</xdr:rowOff>
    </xdr:from>
    <xdr:to>
      <xdr:col>11</xdr:col>
      <xdr:colOff>92080</xdr:colOff>
      <xdr:row>9</xdr:row>
      <xdr:rowOff>56445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4DC09A-1B16-34CD-8AB1-4BA46F0C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5389" y="183444"/>
          <a:ext cx="3274136" cy="1375834"/>
        </a:xfrm>
        <a:prstGeom prst="rect">
          <a:avLst/>
        </a:prstGeom>
      </xdr:spPr>
    </xdr:pic>
    <xdr:clientData/>
  </xdr:twoCellAnchor>
  <xdr:twoCellAnchor editAs="oneCell">
    <xdr:from>
      <xdr:col>11</xdr:col>
      <xdr:colOff>204611</xdr:colOff>
      <xdr:row>1</xdr:row>
      <xdr:rowOff>12846</xdr:rowOff>
    </xdr:from>
    <xdr:to>
      <xdr:col>16</xdr:col>
      <xdr:colOff>522112</xdr:colOff>
      <xdr:row>11</xdr:row>
      <xdr:rowOff>79369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B20CBB-822C-70A6-A819-410E0DAD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2055" y="175124"/>
          <a:ext cx="3153834" cy="1731634"/>
        </a:xfrm>
        <a:prstGeom prst="rect">
          <a:avLst/>
        </a:prstGeom>
      </xdr:spPr>
    </xdr:pic>
    <xdr:clientData/>
  </xdr:twoCellAnchor>
  <xdr:twoCellAnchor editAs="oneCell">
    <xdr:from>
      <xdr:col>16</xdr:col>
      <xdr:colOff>599723</xdr:colOff>
      <xdr:row>1</xdr:row>
      <xdr:rowOff>14111</xdr:rowOff>
    </xdr:from>
    <xdr:to>
      <xdr:col>22</xdr:col>
      <xdr:colOff>225779</xdr:colOff>
      <xdr:row>9</xdr:row>
      <xdr:rowOff>127013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B53C9A-1DDF-7BE0-F8C6-2ABAF93E3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93501" y="176389"/>
          <a:ext cx="3309056" cy="14534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97691</xdr:colOff>
      <xdr:row>4</xdr:row>
      <xdr:rowOff>155884</xdr:rowOff>
    </xdr:from>
    <xdr:to>
      <xdr:col>19</xdr:col>
      <xdr:colOff>214923</xdr:colOff>
      <xdr:row>50</xdr:row>
      <xdr:rowOff>195385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F35EA6-CA73-E531-508A-6767495BF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43</xdr:row>
      <xdr:rowOff>7135</xdr:rowOff>
    </xdr:from>
    <xdr:to>
      <xdr:col>3</xdr:col>
      <xdr:colOff>877586</xdr:colOff>
      <xdr:row>63</xdr:row>
      <xdr:rowOff>37386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B0ADEB-BB60-0C53-3010-9A0ABBF4D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63500</xdr:colOff>
      <xdr:row>15</xdr:row>
      <xdr:rowOff>88900</xdr:rowOff>
    </xdr:from>
    <xdr:to>
      <xdr:col>49</xdr:col>
      <xdr:colOff>931333</xdr:colOff>
      <xdr:row>23</xdr:row>
      <xdr:rowOff>8218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220C3F-9667-694B-9CAD-38ECA744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98700" y="3136900"/>
          <a:ext cx="3369733" cy="1544918"/>
        </a:xfrm>
        <a:prstGeom prst="rect">
          <a:avLst/>
        </a:prstGeom>
      </xdr:spPr>
    </xdr:pic>
    <xdr:clientData/>
  </xdr:twoCellAnchor>
  <xdr:twoCellAnchor>
    <xdr:from>
      <xdr:col>60</xdr:col>
      <xdr:colOff>607218</xdr:colOff>
      <xdr:row>2</xdr:row>
      <xdr:rowOff>9524</xdr:rowOff>
    </xdr:from>
    <xdr:to>
      <xdr:col>65</xdr:col>
      <xdr:colOff>853280</xdr:colOff>
      <xdr:row>15</xdr:row>
      <xdr:rowOff>69849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50D797-D4A8-9D42-894F-9EC6AEBE3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276727</xdr:colOff>
      <xdr:row>6</xdr:row>
      <xdr:rowOff>33327</xdr:rowOff>
    </xdr:from>
    <xdr:to>
      <xdr:col>19</xdr:col>
      <xdr:colOff>294367</xdr:colOff>
      <xdr:row>6</xdr:row>
      <xdr:rowOff>80847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CAE1BB1-6EE4-C569-2A6F-1160F7DE8B05}"/>
                </a:ext>
              </a:extLst>
            </xdr14:cNvPr>
            <xdr14:cNvContentPartPr/>
          </xdr14:nvContentPartPr>
          <xdr14:nvPr macro=""/>
          <xdr14:xfrm>
            <a:off x="12411000" y="1245600"/>
            <a:ext cx="17640" cy="475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CAE1BB1-6EE4-C569-2A6F-1160F7DE8B0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02360" y="1236960"/>
              <a:ext cx="3528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470407</xdr:colOff>
      <xdr:row>6</xdr:row>
      <xdr:rowOff>113247</xdr:rowOff>
    </xdr:from>
    <xdr:to>
      <xdr:col>19</xdr:col>
      <xdr:colOff>472207</xdr:colOff>
      <xdr:row>6</xdr:row>
      <xdr:rowOff>116127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FA714590-A52E-F5DA-C848-5F60A3FBE9B5}"/>
                </a:ext>
              </a:extLst>
            </xdr14:cNvPr>
            <xdr14:cNvContentPartPr/>
          </xdr14:nvContentPartPr>
          <xdr14:nvPr macro=""/>
          <xdr14:xfrm>
            <a:off x="12604680" y="1325520"/>
            <a:ext cx="1800" cy="28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FA714590-A52E-F5DA-C848-5F60A3FBE9B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596040" y="1316880"/>
              <a:ext cx="1944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414185</xdr:colOff>
      <xdr:row>6</xdr:row>
      <xdr:rowOff>115047</xdr:rowOff>
    </xdr:from>
    <xdr:to>
      <xdr:col>17</xdr:col>
      <xdr:colOff>415985</xdr:colOff>
      <xdr:row>6</xdr:row>
      <xdr:rowOff>116847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16C4D0C-362D-1DCD-76BD-63BF4FFD4BD8}"/>
                </a:ext>
              </a:extLst>
            </xdr14:cNvPr>
            <xdr14:cNvContentPartPr/>
          </xdr14:nvContentPartPr>
          <xdr14:nvPr macro=""/>
          <xdr14:xfrm>
            <a:off x="9800640" y="1327320"/>
            <a:ext cx="1800" cy="1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16C4D0C-362D-1DCD-76BD-63BF4FFD4BD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792000" y="1318320"/>
              <a:ext cx="19440" cy="1944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19</xdr:col>
      <xdr:colOff>276727</xdr:colOff>
      <xdr:row>34</xdr:row>
      <xdr:rowOff>33327</xdr:rowOff>
    </xdr:from>
    <xdr:ext cx="17640" cy="47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7130E85A-E12B-3449-878C-2EEF3F01D98A}"/>
                </a:ext>
              </a:extLst>
            </xdr14:cNvPr>
            <xdr14:cNvContentPartPr/>
          </xdr14:nvContentPartPr>
          <xdr14:nvPr macro=""/>
          <xdr14:xfrm>
            <a:off x="12411000" y="1245600"/>
            <a:ext cx="17640" cy="475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7130E85A-E12B-3449-878C-2EEF3F01D98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02360" y="1236960"/>
              <a:ext cx="35280" cy="65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470407</xdr:colOff>
      <xdr:row>34</xdr:row>
      <xdr:rowOff>113247</xdr:rowOff>
    </xdr:from>
    <xdr:ext cx="1800" cy="28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03F6F233-18ED-264D-B7BE-077A0401B7E8}"/>
                </a:ext>
              </a:extLst>
            </xdr14:cNvPr>
            <xdr14:cNvContentPartPr/>
          </xdr14:nvContentPartPr>
          <xdr14:nvPr macro=""/>
          <xdr14:xfrm>
            <a:off x="12604680" y="1325520"/>
            <a:ext cx="1800" cy="28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03F6F233-18ED-264D-B7BE-077A0401B7E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596040" y="1316880"/>
              <a:ext cx="19440" cy="2052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11</xdr:col>
      <xdr:colOff>384315</xdr:colOff>
      <xdr:row>30</xdr:row>
      <xdr:rowOff>203035</xdr:rowOff>
    </xdr:from>
    <xdr:to>
      <xdr:col>11</xdr:col>
      <xdr:colOff>384675</xdr:colOff>
      <xdr:row>31</xdr:row>
      <xdr:rowOff>4687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375CB16-74E9-2291-370F-B05C3A44B5EF}"/>
                </a:ext>
              </a:extLst>
            </xdr14:cNvPr>
            <xdr14:cNvContentPartPr/>
          </xdr14:nvContentPartPr>
          <xdr14:nvPr macro=""/>
          <xdr14:xfrm>
            <a:off x="13195440" y="6410160"/>
            <a:ext cx="360" cy="21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1375CB16-74E9-2291-370F-B05C3A44B5E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186440" y="6401520"/>
              <a:ext cx="180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358035</xdr:colOff>
      <xdr:row>30</xdr:row>
      <xdr:rowOff>229675</xdr:rowOff>
    </xdr:from>
    <xdr:to>
      <xdr:col>11</xdr:col>
      <xdr:colOff>363795</xdr:colOff>
      <xdr:row>31</xdr:row>
      <xdr:rowOff>6835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133F6D07-034E-ED15-5715-455CCDC2BCC6}"/>
                </a:ext>
              </a:extLst>
            </xdr14:cNvPr>
            <xdr14:cNvContentPartPr/>
          </xdr14:nvContentPartPr>
          <xdr14:nvPr macro=""/>
          <xdr14:xfrm>
            <a:off x="13169160" y="6436800"/>
            <a:ext cx="5760" cy="57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133F6D07-034E-ED15-5715-455CCDC2BCC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160160" y="6428160"/>
              <a:ext cx="234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422115</xdr:colOff>
      <xdr:row>31</xdr:row>
      <xdr:rowOff>151540</xdr:rowOff>
    </xdr:from>
    <xdr:to>
      <xdr:col>11</xdr:col>
      <xdr:colOff>426075</xdr:colOff>
      <xdr:row>31</xdr:row>
      <xdr:rowOff>153700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D2233816-76D2-54E7-4A9B-56FC535DBB59}"/>
                </a:ext>
              </a:extLst>
            </xdr14:cNvPr>
            <xdr14:cNvContentPartPr/>
          </xdr14:nvContentPartPr>
          <xdr14:nvPr macro=""/>
          <xdr14:xfrm>
            <a:off x="13233240" y="6692040"/>
            <a:ext cx="3960" cy="21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D2233816-76D2-54E7-4A9B-56FC535DBB5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224600" y="6683040"/>
              <a:ext cx="216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650355</xdr:colOff>
      <xdr:row>34</xdr:row>
      <xdr:rowOff>29935</xdr:rowOff>
    </xdr:from>
    <xdr:to>
      <xdr:col>11</xdr:col>
      <xdr:colOff>657195</xdr:colOff>
      <xdr:row>34</xdr:row>
      <xdr:rowOff>32095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6912481-7BDA-806C-98E4-5035802E534E}"/>
                </a:ext>
              </a:extLst>
            </xdr14:cNvPr>
            <xdr14:cNvContentPartPr/>
          </xdr14:nvContentPartPr>
          <xdr14:nvPr macro=""/>
          <xdr14:xfrm>
            <a:off x="13461480" y="7189560"/>
            <a:ext cx="6840" cy="21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46912481-7BDA-806C-98E4-5035802E534E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3452840" y="7180560"/>
              <a:ext cx="2448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51480</xdr:colOff>
      <xdr:row>28</xdr:row>
      <xdr:rowOff>192065</xdr:rowOff>
    </xdr:from>
    <xdr:to>
      <xdr:col>14</xdr:col>
      <xdr:colOff>62640</xdr:colOff>
      <xdr:row>28</xdr:row>
      <xdr:rowOff>192425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54468062-BFD7-3FFF-7796-FB5D31237459}"/>
                </a:ext>
              </a:extLst>
            </xdr14:cNvPr>
            <xdr14:cNvContentPartPr/>
          </xdr14:nvContentPartPr>
          <xdr14:nvPr macro=""/>
          <xdr14:xfrm>
            <a:off x="14910480" y="5986440"/>
            <a:ext cx="11160" cy="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54468062-BFD7-3FFF-7796-FB5D3123745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4901480" y="5977800"/>
              <a:ext cx="288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100592</xdr:colOff>
      <xdr:row>33</xdr:row>
      <xdr:rowOff>1590</xdr:rowOff>
    </xdr:from>
    <xdr:to>
      <xdr:col>13</xdr:col>
      <xdr:colOff>100952</xdr:colOff>
      <xdr:row>33</xdr:row>
      <xdr:rowOff>1950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859B8B64-6900-FD2C-F55C-C2BE98826C80}"/>
                </a:ext>
              </a:extLst>
            </xdr14:cNvPr>
            <xdr14:cNvContentPartPr/>
          </xdr14:nvContentPartPr>
          <xdr14:nvPr macro=""/>
          <xdr14:xfrm>
            <a:off x="14237280" y="6954840"/>
            <a:ext cx="360" cy="3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859B8B64-6900-FD2C-F55C-C2BE98826C8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4228280" y="69462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488312</xdr:colOff>
      <xdr:row>25</xdr:row>
      <xdr:rowOff>149185</xdr:rowOff>
    </xdr:from>
    <xdr:to>
      <xdr:col>13</xdr:col>
      <xdr:colOff>490472</xdr:colOff>
      <xdr:row>25</xdr:row>
      <xdr:rowOff>153145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F5DD800A-BACD-E733-3465-F3DEAF2A5774}"/>
                </a:ext>
              </a:extLst>
            </xdr14:cNvPr>
            <xdr14:cNvContentPartPr/>
          </xdr14:nvContentPartPr>
          <xdr14:nvPr macro=""/>
          <xdr14:xfrm>
            <a:off x="14625000" y="5308560"/>
            <a:ext cx="2160" cy="396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F5DD800A-BACD-E733-3465-F3DEAF2A57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616000" y="5299560"/>
              <a:ext cx="1980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163952</xdr:colOff>
      <xdr:row>25</xdr:row>
      <xdr:rowOff>12025</xdr:rowOff>
    </xdr:from>
    <xdr:to>
      <xdr:col>13</xdr:col>
      <xdr:colOff>164312</xdr:colOff>
      <xdr:row>25</xdr:row>
      <xdr:rowOff>14185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ABF3980A-1461-3634-9CCC-7D66B8F6CFF3}"/>
                </a:ext>
              </a:extLst>
            </xdr14:cNvPr>
            <xdr14:cNvContentPartPr/>
          </xdr14:nvContentPartPr>
          <xdr14:nvPr macro=""/>
          <xdr14:xfrm>
            <a:off x="14300640" y="5171400"/>
            <a:ext cx="360" cy="216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ABF3980A-1461-3634-9CCC-7D66B8F6CFF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291640" y="5162760"/>
              <a:ext cx="180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242094</xdr:colOff>
      <xdr:row>16</xdr:row>
      <xdr:rowOff>166688</xdr:rowOff>
    </xdr:from>
    <xdr:to>
      <xdr:col>28</xdr:col>
      <xdr:colOff>555626</xdr:colOff>
      <xdr:row>27</xdr:row>
      <xdr:rowOff>198437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5E791-AF4D-8A76-DD1D-36209ACFC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373062</xdr:colOff>
      <xdr:row>102</xdr:row>
      <xdr:rowOff>23811</xdr:rowOff>
    </xdr:from>
    <xdr:to>
      <xdr:col>10</xdr:col>
      <xdr:colOff>226528</xdr:colOff>
      <xdr:row>110</xdr:row>
      <xdr:rowOff>96300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7C73C2-79B1-A38B-4356-E27FA951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29687" y="21066124"/>
          <a:ext cx="2599841" cy="1723490"/>
        </a:xfrm>
        <a:prstGeom prst="rect">
          <a:avLst/>
        </a:prstGeom>
      </xdr:spPr>
    </xdr:pic>
    <xdr:clientData/>
  </xdr:twoCellAnchor>
  <xdr:twoCellAnchor>
    <xdr:from>
      <xdr:col>10</xdr:col>
      <xdr:colOff>198437</xdr:colOff>
      <xdr:row>61</xdr:row>
      <xdr:rowOff>144462</xdr:rowOff>
    </xdr:from>
    <xdr:to>
      <xdr:col>16</xdr:col>
      <xdr:colOff>865187</xdr:colOff>
      <xdr:row>75</xdr:row>
      <xdr:rowOff>166686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85DF1E4-DD3F-39A6-F4AB-251917329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166687</xdr:colOff>
      <xdr:row>76</xdr:row>
      <xdr:rowOff>47625</xdr:rowOff>
    </xdr:from>
    <xdr:to>
      <xdr:col>16</xdr:col>
      <xdr:colOff>833437</xdr:colOff>
      <xdr:row>89</xdr:row>
      <xdr:rowOff>125411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4DC65E0-6A32-A24C-91CE-7843EF5D1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gna/Dropbox/Victaulic/MS%20Office/XLS/Pipeline%20&#183;%20FBE%20&#183;%20X07%20&#183;%20Barlow.xlsx" TargetMode="External"/><Relationship Id="rId1" Type="http://schemas.openxmlformats.org/officeDocument/2006/relationships/externalLinkPath" Target="/Users/igna/Dropbox/Victaulic/MS%20Office/XLS/Pipeline%20&#183;%20FBE%20&#183;%20X07%20&#183;%20Barlo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OP"/>
      <sheetName val="Barlow"/>
      <sheetName val="Price"/>
      <sheetName val="Amit Projects"/>
      <sheetName val="FBE or not to FBE"/>
      <sheetName val="Example"/>
      <sheetName val="TEA rejection"/>
      <sheetName val="Pipeline"/>
    </sheetNames>
    <sheetDataSet>
      <sheetData sheetId="0">
        <row r="3">
          <cell r="C3">
            <v>0.125</v>
          </cell>
        </row>
        <row r="4">
          <cell r="C4">
            <v>0.72</v>
          </cell>
        </row>
        <row r="5">
          <cell r="C5">
            <v>482.75862068965517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7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24575,'4'7'0,"1"9"0,3 2 0,2 8 0,1 5 0,-5-15 0,-2 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8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 24575,'-3'4'0,"2"-1"0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9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 4 24575,'-2'-2'0,"1"0"0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9:53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24575,'4'7'0,"1"9"0,3 2 0,2 8 0,1 5 0,-5-15 0,-2 1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9:53.6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 24575,'-3'4'0,"2"-1"0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2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 24575,'0'-3'0,"0"1"0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3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16 24575,'3'-3'0,"0"-1"0,2 1 0,-3 0 0,1 1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3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6 24575,'5'-3'0,"-2"3"0,-1-3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4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19 6 24575,'-11'0'0,"4"-3"0,7 3 0,1-3 0,1 3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6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30 1 24575,'-10'0'0,"0"0"0,5 0 0,2 0 0,1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7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8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10 24575,'0'-5'0,"3"2"0,-3 1 0,3 2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8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 24575,'0'-3'0,"0"1"0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15385EC-47C8-A040-BC2B-47098DEAE883}" name="Table9" displayName="Table9" ref="B10:G13" totalsRowCount="1">
  <autoFilter ref="B10:G12" xr:uid="{515385EC-47C8-A040-BC2B-47098DEAE883}"/>
  <tableColumns count="6">
    <tableColumn id="1" xr3:uid="{7B17CCE1-388F-144A-99F3-119B0BBD67D5}" name="Compound" totalsRowLabel="Total"/>
    <tableColumn id="2" xr3:uid="{ED4DE803-8056-634F-86FA-D47A74E9EB44}" name="Dosage"/>
    <tableColumn id="3" xr3:uid="{A512E92A-A4C7-6844-AE8B-CE5CC9D8A9F3}" name="Mass_x000a_[ kg/yr ]"/>
    <tableColumn id="4" xr3:uid="{C0EB6FF3-9E56-BF49-9D62-63F096334A5D}" name="Price _x000a_[ $/kg ]"/>
    <tableColumn id="5" xr3:uid="{D3F80A8C-5392-3542-9FB9-84EF1EEBC84F}" name="Total" totalsRowFunction="sum" totalsRowDxfId="43"/>
    <tableColumn id="6" xr3:uid="{9BCA0F00-6609-0642-A71E-9E9AAE933865}" name="Mass_x000a_[ kg/month ]" totalsRowDxfId="42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CBBFD65-83A5-F845-9FB2-D63E1F03E201}" name="Table6" displayName="Table6" ref="A47:B49" totalsRowShown="0">
  <autoFilter ref="A47:B49" xr:uid="{9CBBFD65-83A5-F845-9FB2-D63E1F03E201}">
    <filterColumn colId="0" hiddenButton="1"/>
    <filterColumn colId="1" hiddenButton="1"/>
  </autoFilter>
  <tableColumns count="2">
    <tableColumn id="1" xr3:uid="{4A9C0A6E-E920-2043-9970-A35A34C75768}" name="Metric" dataDxfId="41"/>
    <tableColumn id="2" xr3:uid="{6D2CC92F-579F-724B-BC48-38FDEE934505}" name="Bare Pipe" dataDxfId="40" dataCellStyle="Comma [0]">
      <calculatedColumnFormula>NPV(discount_rate/100,Electricity!J21:J45)</calculatedColumnFormula>
    </tableColumn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AA33C1-ABD4-BB4F-8665-6828C0EDAF94}" name="Project_Variables" displayName="Project_Variables" ref="B2:D25" totalsRowShown="0" headerRowDxfId="39" dataDxfId="38">
  <autoFilter ref="B2:D25" xr:uid="{88AA33C1-ABD4-BB4F-8665-6828C0EDAF94}">
    <filterColumn colId="0" hiddenButton="1"/>
    <filterColumn colId="1" hiddenButton="1"/>
    <filterColumn colId="2" hiddenButton="1"/>
  </autoFilter>
  <tableColumns count="3">
    <tableColumn id="1" xr3:uid="{CAE20532-1DDF-3E4F-B705-9AB023E50727}" name="Variable Name" dataDxfId="37"/>
    <tableColumn id="2" xr3:uid="{B111641A-038F-DA4C-9919-5F61ECBA2BDB}" name="Value" dataDxfId="36"/>
    <tableColumn id="3" xr3:uid="{D0648B46-2CB1-C444-8816-57D5C15D0CE5}" name="Unit" dataDxfId="35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D1DE88-A46B-7D49-88CA-58769B9DDC6B}" name="Table5" displayName="Table5" ref="F3:N29" totalsRowCount="1" headerRowDxfId="34" dataDxfId="33">
  <autoFilter ref="F3:N28" xr:uid="{B2D1DE88-A46B-7D49-88CA-58769B9DDC6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8C25B27D-39B9-8349-B045-F9964D2A9DDA}" name="Year" dataDxfId="32" totalsRowDxfId="31"/>
    <tableColumn id="2" xr3:uid="{CECB8E50-A539-6941-8163-D97DD202CBA7}" name="Inner Diameter" dataDxfId="30" totalsRowDxfId="29" dataCellStyle="Comma [0]">
      <calculatedColumnFormula>P4*1000</calculatedColumnFormula>
    </tableColumn>
    <tableColumn id="3" xr3:uid="{5D62A346-2872-9445-8A78-0C2F673A89D5}" name="Flow Velocity" dataDxfId="28" totalsRowDxfId="27">
      <calculatedColumnFormula>Flow_rate_m3_s/(PI()*(P4/2)^2)</calculatedColumnFormula>
    </tableColumn>
    <tableColumn id="4" xr3:uid="{AF6C8CE5-E889-A743-8DB0-81736CA5B3F5}" name="Roughness factor" totalsRowFunction="custom" dataDxfId="26" totalsRowDxfId="25" dataCellStyle="Comma [0]">
      <calculatedColumnFormula>roughness_FBE_yr_25</calculatedColumnFormula>
      <totalsRowFormula>(I28-I4)/24</totalsRowFormula>
    </tableColumn>
    <tableColumn id="5" xr3:uid="{9F8D2F3D-5CED-094B-895A-9ECB7F7C1C2A}" name="Friction Factor" dataDxfId="24" totalsRowDxfId="23" dataCellStyle="Comma [0]"/>
    <tableColumn id="6" xr3:uid="{E618772A-5A68-E942-B809-D8DB83FF1FC0}" name="Reynolds Num" dataDxfId="22" totalsRowDxfId="21" dataCellStyle="Comma [0]">
      <calculatedColumnFormula>P4*H4/v_kinematic_viscosity</calculatedColumnFormula>
    </tableColumn>
    <tableColumn id="7" xr3:uid="{EE7E0C97-3B62-3342-9EEF-7B2D12F0872C}" name="Friction Head Loss" dataDxfId="20" totalsRowDxfId="19" dataCellStyle="Comma [0]">
      <calculatedColumnFormula>J4*pipeline_length_m/(P4)*H4^2/(2*grav_accel)</calculatedColumnFormula>
    </tableColumn>
    <tableColumn id="8" xr3:uid="{762D3E53-99F5-0F4F-BD19-F7E751B51FEE}" name="Pump Total Power" dataDxfId="18" totalsRowDxfId="17" dataCellStyle="Comma">
      <calculatedColumnFormula>water_density*grav_accel*Flow_rate_m3_s*(L4+Elevation_change_m)/(pump_efficiency/100)/1000</calculatedColumnFormula>
    </tableColumn>
    <tableColumn id="9" xr3:uid="{C82F2615-4CF4-2244-AE1F-2363F3677001}" name="OPEX" totalsRowFunction="custom" dataDxfId="16" totalsRowDxfId="15" dataCellStyle="Currency [0]" totalsRowCellStyle="Currency [0]">
      <calculatedColumnFormula>M4*annual_operation_h*Energy_cost/1000000</calculatedColumnFormula>
      <totalsRowFormula>NPV(discount_rate/100,Table5[OPEX])</totalsRow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BC9FAD-8A29-924B-BACA-ABE1DA10BC53}" name="Table1" displayName="Table1" ref="B3:D9" totalsRowShown="0" headerRowDxfId="14" dataDxfId="13">
  <autoFilter ref="B3:D9" xr:uid="{EEF4B6F8-B035-0948-9C2F-F8F9B1F6D853}"/>
  <tableColumns count="3">
    <tableColumn id="1" xr3:uid="{4223AF50-317A-4E4F-AD48-9EC4131277A1}" name="Instalación" dataDxfId="12"/>
    <tableColumn id="2" xr3:uid="{5B60AC37-8F81-B246-A80F-AEE2EAC22263}" name="psi" dataDxfId="11">
      <calculatedColumnFormula>G4*0.145038</calculatedColumnFormula>
    </tableColumn>
    <tableColumn id="3" xr3:uid="{82AF04C3-C3CE-F14B-BAF9-7AF3841EFD5F}" name="Ubicación Longitudinal (km)" dataDxfId="10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D05297-0071-064E-BB47-FFC75091AF70}" name="Table2" displayName="Table2" ref="B11:D16" totalsRowShown="0" headerRowDxfId="9" dataDxfId="8">
  <autoFilter ref="B11:D16" xr:uid="{A82A7B7B-2DD2-A048-AB41-7EB5442B34A2}"/>
  <tableColumns count="3">
    <tableColumn id="1" xr3:uid="{DDA3747E-FAF2-7440-9C1C-51712E42AA65}" name="Instalación" dataDxfId="7"/>
    <tableColumn id="2" xr3:uid="{F736D024-0696-FC41-9FD0-E42A5716B0F6}" name="max pressure" dataDxfId="6">
      <calculatedColumnFormula>H12*0.145038</calculatedColumnFormula>
    </tableColumn>
    <tableColumn id="3" xr3:uid="{41A8A8E5-FAA1-CC48-A0C4-C0BC1F11B74C}" name="Ubicación Longitudinal (km)" dataDxfId="5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3C3669-7D83-A943-92ED-BB9613B213E9}" name="Table4" displayName="Table4" ref="B18:D27" totalsRowShown="0" headerRowDxfId="4" dataDxfId="3">
  <autoFilter ref="B18:D27" xr:uid="{9CFB23CB-7A14-9948-BCFA-ED54685E430C}"/>
  <tableColumns count="3">
    <tableColumn id="1" xr3:uid="{036ECB84-A68C-A041-AE66-AD7548880326}" name="Parámetro" dataDxfId="2"/>
    <tableColumn id="2" xr3:uid="{900F0122-750E-2840-924D-7A214F2C9055}" name="Unidad" dataDxfId="1"/>
    <tableColumn id="3" xr3:uid="{B79EACA7-12BF-274A-9E7C-D69163D885A6}" name="Valor" dataDxfId="0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pps.dtic.mil/sti/tr/pdf/ADA194321.pdf" TargetMode="External"/><Relationship Id="rId2" Type="http://schemas.openxmlformats.org/officeDocument/2006/relationships/hyperlink" Target="https://www.pipeflow.com/pipe-pressure-drop-calculations/pipe-roughness" TargetMode="External"/><Relationship Id="rId1" Type="http://schemas.openxmlformats.org/officeDocument/2006/relationships/hyperlink" Target="https://www.imia.com/wp-content/uploads/2023/08/IMIA-WGP-126-22-Coating-Failures.pdf" TargetMode="External"/><Relationship Id="rId6" Type="http://schemas.openxmlformats.org/officeDocument/2006/relationships/hyperlink" Target="https://gmk.center/en/posts/hot-rolled-coil-prices-have-increased-in-most-markets-since-the-beginning-of-the-year/" TargetMode="External"/><Relationship Id="rId5" Type="http://schemas.openxmlformats.org/officeDocument/2006/relationships/hyperlink" Target="https://nepis.epa.gov/Exe/ZyPURL.cgi?Dockey=10003FIW.TXT" TargetMode="External"/><Relationship Id="rId4" Type="http://schemas.openxmlformats.org/officeDocument/2006/relationships/hyperlink" Target="https://www.steelmains.com/files/TWT%2015140%20Comparison%20of%20Sintakote%20vs%20Epoxy%20coatings%20on%20steel%20water%20pipe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5" Type="http://schemas.openxmlformats.org/officeDocument/2006/relationships/comments" Target="../comments2.xml"/><Relationship Id="rId4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04B6-E255-0D47-B4C0-0EFB54D89CFA}">
  <dimension ref="A2:J33"/>
  <sheetViews>
    <sheetView topLeftCell="B1" zoomScale="180" zoomScaleNormal="180" workbookViewId="0">
      <pane ySplit="2" topLeftCell="A16" activePane="bottomLeft" state="frozen"/>
      <selection activeCell="B1" sqref="B1"/>
      <selection pane="bottomLeft" activeCell="C31" sqref="C31"/>
    </sheetView>
    <sheetView topLeftCell="B1" workbookViewId="1"/>
  </sheetViews>
  <sheetFormatPr baseColWidth="10" defaultRowHeight="16"/>
  <cols>
    <col min="1" max="1" width="28" hidden="1" customWidth="1"/>
    <col min="2" max="2" width="26.33203125" bestFit="1" customWidth="1"/>
    <col min="3" max="3" width="8.1640625" bestFit="1" customWidth="1"/>
    <col min="5" max="5" width="11" customWidth="1"/>
    <col min="9" max="9" width="10.83203125" customWidth="1"/>
  </cols>
  <sheetData>
    <row r="2" spans="1:10">
      <c r="A2" s="233" t="s">
        <v>288</v>
      </c>
      <c r="B2" s="298" t="s">
        <v>287</v>
      </c>
      <c r="C2" s="326" t="s">
        <v>78</v>
      </c>
      <c r="D2" s="326" t="s">
        <v>76</v>
      </c>
      <c r="E2" s="326" t="s">
        <v>301</v>
      </c>
      <c r="F2" s="326" t="s">
        <v>305</v>
      </c>
      <c r="G2" s="298" t="s">
        <v>411</v>
      </c>
      <c r="H2" s="298" t="s">
        <v>412</v>
      </c>
      <c r="I2" s="298" t="s">
        <v>399</v>
      </c>
      <c r="J2" s="298" t="s">
        <v>400</v>
      </c>
    </row>
    <row r="3" spans="1:10">
      <c r="A3" s="230" t="str">
        <f t="shared" ref="A3:A18" si="0">_xlfn.REGEXREPLACE(_xlfn.REGEXREPLACE(_xlfn.REGEXREPLACE(_xlfn.REGEXREPLACE(_xlfn.REGEXREPLACE(_xlfn.REGEXREPLACE(LOWER(B3&amp;IF(E3,"","_"&amp;D3)),"(³)","3"),"[ /]","_"),"\$","usd"),"year","yr"),"%","percent"),"²","2")</f>
        <v>pipeline_length</v>
      </c>
      <c r="B3" t="s">
        <v>304</v>
      </c>
      <c r="C3" s="297">
        <v>70000</v>
      </c>
      <c r="D3" t="s">
        <v>14</v>
      </c>
      <c r="E3" t="b">
        <v>1</v>
      </c>
      <c r="F3" t="b">
        <v>1</v>
      </c>
    </row>
    <row r="4" spans="1:10">
      <c r="B4" t="s">
        <v>304</v>
      </c>
      <c r="C4" s="321">
        <f>pipeline_length/1000</f>
        <v>70</v>
      </c>
      <c r="D4" t="s">
        <v>2</v>
      </c>
      <c r="E4" t="b">
        <v>0</v>
      </c>
      <c r="F4" t="b">
        <v>0</v>
      </c>
    </row>
    <row r="5" spans="1:10">
      <c r="A5" t="str">
        <f>_xlfn.REGEXREPLACE(_xlfn.REGEXREPLACE(_xlfn.REGEXREPLACE(_xlfn.REGEXREPLACE(_xlfn.REGEXREPLACE(_xlfn.REGEXREPLACE(LOWER(B5&amp;IF(E5,"","_"&amp;D5)),"(³)","3"),"[ /]","_"),"\$","usd"),"year","yr"),"%","percent"),"²","2")</f>
        <v>elevation_change</v>
      </c>
      <c r="B5" t="s">
        <v>308</v>
      </c>
      <c r="C5" s="297">
        <v>1000</v>
      </c>
      <c r="D5" t="s">
        <v>14</v>
      </c>
      <c r="E5" t="b">
        <v>1</v>
      </c>
      <c r="F5" t="b">
        <v>1</v>
      </c>
    </row>
    <row r="6" spans="1:10">
      <c r="A6" t="str">
        <f t="shared" si="0"/>
        <v>segment_length</v>
      </c>
      <c r="B6" t="s">
        <v>293</v>
      </c>
      <c r="C6" s="297">
        <v>12</v>
      </c>
      <c r="D6" t="s">
        <v>14</v>
      </c>
      <c r="E6" t="b">
        <v>1</v>
      </c>
      <c r="F6" t="b">
        <v>1</v>
      </c>
    </row>
    <row r="7" spans="1:10">
      <c r="A7" t="str">
        <f>_xlfn.REGEXREPLACE(_xlfn.REGEXREPLACE(_xlfn.REGEXREPLACE(_xlfn.REGEXREPLACE(_xlfn.REGEXREPLACE(_xlfn.REGEXREPLACE(LOWER(B8&amp;IF(E8,"","_"&amp;D8)),"(³)","3"),"[ /]","_"),"\$","usd"),"year","yr"),"%","percent"),"²","2")</f>
        <v>outside_diameter</v>
      </c>
      <c r="B7" t="s">
        <v>292</v>
      </c>
      <c r="C7" s="297">
        <v>28</v>
      </c>
      <c r="D7" t="s">
        <v>24</v>
      </c>
      <c r="E7" t="b">
        <v>0</v>
      </c>
      <c r="F7" t="b">
        <v>1</v>
      </c>
    </row>
    <row r="8" spans="1:10">
      <c r="A8" t="str">
        <f>_xlfn.REGEXREPLACE(_xlfn.REGEXREPLACE(_xlfn.REGEXREPLACE(_xlfn.REGEXREPLACE(_xlfn.REGEXREPLACE(_xlfn.REGEXREPLACE(LOWER(B15&amp;IF(E15,"","_"&amp;D15)),"(³)","3"),"[ /]","_"),"\$","usd"),"year","yr"),"%","percent"),"²","2")</f>
        <v>design_flow_rate_m3_s</v>
      </c>
      <c r="B8" t="s">
        <v>292</v>
      </c>
      <c r="C8">
        <f>CONVERT(outside_diameter_inches,"in","m")</f>
        <v>0.71120000000000005</v>
      </c>
      <c r="D8" t="s">
        <v>14</v>
      </c>
      <c r="E8" t="b">
        <v>1</v>
      </c>
      <c r="F8" t="b">
        <v>0</v>
      </c>
    </row>
    <row r="9" spans="1:10">
      <c r="A9" t="str">
        <f>_xlfn.REGEXREPLACE(_xlfn.REGEXREPLACE(_xlfn.REGEXREPLACE(_xlfn.REGEXREPLACE(_xlfn.REGEXREPLACE(_xlfn.REGEXREPLACE(LOWER(B7&amp;IF(E7,"","_"&amp;D7)),"(³)","3"),"[ /]","_"),"\$","usd"),"year","yr"),"%","percent"),"²","2")</f>
        <v>outside_diameter_inches</v>
      </c>
      <c r="B9" t="s">
        <v>312</v>
      </c>
      <c r="C9" s="297">
        <v>0.15</v>
      </c>
      <c r="D9" t="s">
        <v>38</v>
      </c>
      <c r="E9" t="b">
        <v>0</v>
      </c>
      <c r="F9" t="b">
        <v>1</v>
      </c>
      <c r="G9" s="327" t="s">
        <v>407</v>
      </c>
      <c r="H9" s="327"/>
      <c r="J9" t="s">
        <v>409</v>
      </c>
    </row>
    <row r="10" spans="1:10">
      <c r="A10" t="str">
        <f>_xlfn.REGEXREPLACE(_xlfn.REGEXREPLACE(_xlfn.REGEXREPLACE(_xlfn.REGEXREPLACE(_xlfn.REGEXREPLACE(_xlfn.REGEXREPLACE(LOWER(B14&amp;IF(E14,"","_"&amp;D14)),"(³)","3"),"[ /]","_"),"\$","usd"),"year","yr"),"%","percent"),"²","2")</f>
        <v>design_flow_rate_l_s</v>
      </c>
      <c r="B10" t="s">
        <v>299</v>
      </c>
      <c r="C10" s="297">
        <v>9.5299999999999994</v>
      </c>
      <c r="D10" t="s">
        <v>27</v>
      </c>
      <c r="E10" t="b">
        <v>0</v>
      </c>
      <c r="F10" t="b">
        <v>1</v>
      </c>
    </row>
    <row r="11" spans="1:10">
      <c r="A11" t="str">
        <f>_xlfn.REGEXREPLACE(_xlfn.REGEXREPLACE(_xlfn.REGEXREPLACE(_xlfn.REGEXREPLACE(_xlfn.REGEXREPLACE(_xlfn.REGEXREPLACE(LOWER(B10&amp;IF(E10,"","_"&amp;D10)),"(³)","3"),"[ /]","_"),"\$","usd"),"year","yr"),"%","percent"),"²","2")</f>
        <v>fbe_wall__yr_1_mm</v>
      </c>
      <c r="B11" t="s">
        <v>300</v>
      </c>
      <c r="C11">
        <f>fbe_wall__yr_1_mm+wall_corrosion_rate_mm_yr*25</f>
        <v>13.28</v>
      </c>
      <c r="D11" t="s">
        <v>27</v>
      </c>
      <c r="E11" t="b">
        <v>0</v>
      </c>
      <c r="F11" t="b">
        <v>0</v>
      </c>
    </row>
    <row r="12" spans="1:10">
      <c r="A12" t="str">
        <f>_xlfn.REGEXREPLACE(_xlfn.REGEXREPLACE(_xlfn.REGEXREPLACE(_xlfn.REGEXREPLACE(_xlfn.REGEXREPLACE(_xlfn.REGEXREPLACE(LOWER(B13&amp;IF(E13,"","_"&amp;D13)),"(³)","3"),"[ /]","_"),"\$","usd"),"year","yr"),"%","percent"),"²","2")</f>
        <v>fbe_inside_diameter_yr_1</v>
      </c>
      <c r="B12" t="s">
        <v>309</v>
      </c>
      <c r="C12">
        <f>outside_diameter-bare_wall__yr_1_mm/1000*2</f>
        <v>0.68464000000000003</v>
      </c>
      <c r="D12" t="s">
        <v>14</v>
      </c>
      <c r="E12" t="b">
        <v>1</v>
      </c>
      <c r="F12" t="b">
        <v>0</v>
      </c>
    </row>
    <row r="13" spans="1:10">
      <c r="A13" t="e">
        <f>_xlfn.REGEXREPLACE(_xlfn.REGEXREPLACE(_xlfn.REGEXREPLACE(_xlfn.REGEXREPLACE(_xlfn.REGEXREPLACE(_xlfn.REGEXREPLACE(LOWER(#REF!&amp;IF(#REF!,"","_"&amp;#REF!)),"(³)","3"),"[ /]","_"),"\$","usd"),"year","yr"),"%","percent"),"²","2")</f>
        <v>#REF!</v>
      </c>
      <c r="B13" t="s">
        <v>310</v>
      </c>
      <c r="C13">
        <f>outside_diameter-fbe_wall__yr_1_mm/1000*2</f>
        <v>0.69214000000000009</v>
      </c>
      <c r="D13" t="s">
        <v>14</v>
      </c>
      <c r="E13" t="b">
        <v>1</v>
      </c>
      <c r="F13" t="b">
        <v>0</v>
      </c>
    </row>
    <row r="14" spans="1:10">
      <c r="A14" t="str">
        <f>_xlfn.REGEXREPLACE(_xlfn.REGEXREPLACE(_xlfn.REGEXREPLACE(_xlfn.REGEXREPLACE(_xlfn.REGEXREPLACE(_xlfn.REGEXREPLACE(LOWER(B9&amp;IF(E9,"","_"&amp;D9)),"(³)","3"),"[ /]","_"),"\$","usd"),"year","yr"),"%","percent"),"²","2")</f>
        <v>wall_corrosion_rate_mm_yr</v>
      </c>
      <c r="B14" t="s">
        <v>15</v>
      </c>
      <c r="C14" s="297">
        <v>700</v>
      </c>
      <c r="D14" t="s">
        <v>16</v>
      </c>
      <c r="E14" t="b">
        <v>0</v>
      </c>
      <c r="F14" t="b">
        <v>1</v>
      </c>
    </row>
    <row r="15" spans="1:10">
      <c r="A15" t="str">
        <f>_xlfn.REGEXREPLACE(_xlfn.REGEXREPLACE(_xlfn.REGEXREPLACE(_xlfn.REGEXREPLACE(_xlfn.REGEXREPLACE(_xlfn.REGEXREPLACE(LOWER(B12&amp;IF(E12,"","_"&amp;D12)),"(³)","3"),"[ /]","_"),"\$","usd"),"year","yr"),"%","percent"),"²","2")</f>
        <v>bare_inside_diameter_yr_1</v>
      </c>
      <c r="B15" t="s">
        <v>15</v>
      </c>
      <c r="C15">
        <f>design_flow_rate_l_s/1000</f>
        <v>0.7</v>
      </c>
      <c r="D15" t="s">
        <v>18</v>
      </c>
      <c r="E15" t="b">
        <v>0</v>
      </c>
      <c r="F15" t="b">
        <v>0</v>
      </c>
    </row>
    <row r="16" spans="1:10">
      <c r="A16" t="str">
        <f>_xlfn.REGEXREPLACE(_xlfn.REGEXREPLACE(_xlfn.REGEXREPLACE(_xlfn.REGEXREPLACE(_xlfn.REGEXREPLACE(_xlfn.REGEXREPLACE(LOWER(B16&amp;IF(E16,"","_"&amp;D16)),"(³)","3"),"[ /]","_"),"\$","usd"),"year","yr"),"%","percent"),"²","2")</f>
        <v>x70_steel_density</v>
      </c>
      <c r="B16" t="s">
        <v>291</v>
      </c>
      <c r="C16" s="297">
        <v>7850</v>
      </c>
      <c r="D16" t="s">
        <v>22</v>
      </c>
      <c r="E16" t="b">
        <v>1</v>
      </c>
      <c r="F16" t="b">
        <v>1</v>
      </c>
    </row>
    <row r="17" spans="1:10">
      <c r="A17" t="str">
        <f t="shared" si="0"/>
        <v>fluid_density</v>
      </c>
      <c r="B17" t="s">
        <v>313</v>
      </c>
      <c r="C17" s="297">
        <v>1030</v>
      </c>
      <c r="D17" t="s">
        <v>22</v>
      </c>
      <c r="E17" t="b">
        <v>1</v>
      </c>
      <c r="F17" t="b">
        <v>1</v>
      </c>
    </row>
    <row r="18" spans="1:10">
      <c r="A18" t="str">
        <f t="shared" si="0"/>
        <v>dynamic_viscosity_of_water</v>
      </c>
      <c r="B18" t="s">
        <v>261</v>
      </c>
      <c r="C18" s="297">
        <v>1.2999999999999999E-3</v>
      </c>
      <c r="D18" t="s">
        <v>234</v>
      </c>
      <c r="E18" t="b">
        <v>1</v>
      </c>
      <c r="F18" t="b">
        <v>1</v>
      </c>
    </row>
    <row r="19" spans="1:10">
      <c r="A19" t="str">
        <f t="shared" ref="A19:A24" si="1">_xlfn.REGEXREPLACE(_xlfn.REGEXREPLACE(_xlfn.REGEXREPLACE(_xlfn.REGEXREPLACE(_xlfn.REGEXREPLACE(_xlfn.REGEXREPLACE(LOWER(B19&amp;IF(E19,"","_"&amp;D19)),"(³)","3"),"[ /]","_"),"\$","usd"),"year","yr"),"%","percent"),"²","2")</f>
        <v>roughness_bare_yr_1_mm</v>
      </c>
      <c r="B19" t="s">
        <v>297</v>
      </c>
      <c r="C19" s="325">
        <v>6.8000000000000005E-2</v>
      </c>
      <c r="D19" t="s">
        <v>27</v>
      </c>
      <c r="E19" t="b">
        <v>0</v>
      </c>
      <c r="F19" t="b">
        <v>0</v>
      </c>
      <c r="G19" s="327" t="s">
        <v>404</v>
      </c>
      <c r="H19" s="327"/>
      <c r="I19">
        <v>6.8000000000000005E-2</v>
      </c>
      <c r="J19" t="s">
        <v>397</v>
      </c>
    </row>
    <row r="20" spans="1:10">
      <c r="A20" t="str">
        <f t="shared" si="1"/>
        <v>roughness_bare_yr_25_mm</v>
      </c>
      <c r="B20" t="s">
        <v>298</v>
      </c>
      <c r="C20" s="325">
        <v>0.72</v>
      </c>
      <c r="D20" t="s">
        <v>27</v>
      </c>
      <c r="E20" t="b">
        <v>0</v>
      </c>
      <c r="F20" t="b">
        <v>0</v>
      </c>
      <c r="G20" s="327" t="s">
        <v>405</v>
      </c>
      <c r="H20" s="327"/>
      <c r="I20">
        <v>0.72</v>
      </c>
      <c r="J20" t="s">
        <v>398</v>
      </c>
    </row>
    <row r="21" spans="1:10">
      <c r="A21" t="str">
        <f t="shared" si="1"/>
        <v>roughness_fbe_yr_1_mm</v>
      </c>
      <c r="B21" t="s">
        <v>295</v>
      </c>
      <c r="C21" s="325">
        <v>1.4999999999999999E-2</v>
      </c>
      <c r="D21" t="s">
        <v>27</v>
      </c>
      <c r="E21" t="b">
        <v>0</v>
      </c>
      <c r="F21" t="b">
        <v>0</v>
      </c>
      <c r="G21" s="327" t="s">
        <v>406</v>
      </c>
      <c r="H21" s="327"/>
      <c r="J21" t="s">
        <v>401</v>
      </c>
    </row>
    <row r="22" spans="1:10">
      <c r="A22" t="str">
        <f t="shared" si="1"/>
        <v>roughness_fbe_yr_25_mm</v>
      </c>
      <c r="B22" t="s">
        <v>296</v>
      </c>
      <c r="C22" s="325">
        <v>3.5000000000000003E-2</v>
      </c>
      <c r="D22" t="s">
        <v>27</v>
      </c>
      <c r="E22" t="b">
        <v>0</v>
      </c>
      <c r="F22" t="b">
        <v>0</v>
      </c>
      <c r="G22" s="327" t="s">
        <v>402</v>
      </c>
      <c r="H22" s="327"/>
      <c r="J22" t="s">
        <v>403</v>
      </c>
    </row>
    <row r="23" spans="1:10">
      <c r="A23" t="str">
        <f t="shared" si="1"/>
        <v>interior_fbe_thickness_µm</v>
      </c>
      <c r="B23" t="s">
        <v>200</v>
      </c>
      <c r="C23" s="320">
        <v>500</v>
      </c>
      <c r="D23" t="s">
        <v>414</v>
      </c>
      <c r="E23" t="b">
        <v>0</v>
      </c>
      <c r="F23" t="b">
        <v>0</v>
      </c>
      <c r="G23" t="s">
        <v>396</v>
      </c>
    </row>
    <row r="24" spans="1:10">
      <c r="A24" t="str">
        <f t="shared" si="1"/>
        <v>service_life_yr</v>
      </c>
      <c r="B24" t="s">
        <v>311</v>
      </c>
      <c r="C24" s="297">
        <v>25</v>
      </c>
      <c r="D24" t="s">
        <v>306</v>
      </c>
      <c r="E24" t="b">
        <v>0</v>
      </c>
      <c r="F24" t="b">
        <v>1</v>
      </c>
    </row>
    <row r="25" spans="1:10">
      <c r="A25" t="str">
        <f>_xlfn.REGEXREPLACE(_xlfn.REGEXREPLACE(_xlfn.REGEXREPLACE(_xlfn.REGEXREPLACE(_xlfn.REGEXREPLACE(_xlfn.REGEXREPLACE(_xlfn.REGEXREPLACE(LOWER(B25&amp;IF(E25,"","_"&amp;D25)),"(³)","3"),"[ /]","_"),"\$","usd"),"year","yr"),"%","percent"),"²","2"),"_of","")</f>
        <v>annual_hours_operation_h_yr</v>
      </c>
      <c r="B25" t="s">
        <v>231</v>
      </c>
      <c r="C25" s="329">
        <v>8400</v>
      </c>
      <c r="D25" t="s">
        <v>32</v>
      </c>
      <c r="E25" t="b">
        <v>0</v>
      </c>
      <c r="F25" t="b">
        <v>1</v>
      </c>
    </row>
    <row r="26" spans="1:10">
      <c r="A26" t="str">
        <f>_xlfn.REGEXREPLACE(_xlfn.REGEXREPLACE(_xlfn.REGEXREPLACE(_xlfn.REGEXREPLACE(_xlfn.REGEXREPLACE(_xlfn.REGEXREPLACE(LOWER(B26&amp;IF(E26,"","_"&amp;D26)),"(³)","3"),"[ /]","_"),"\$","usd"),"year","yr"),"%","percent"),"²","2")</f>
        <v>pump_efficiency_percent</v>
      </c>
      <c r="B26" t="s">
        <v>36</v>
      </c>
      <c r="C26" s="320">
        <v>82</v>
      </c>
      <c r="D26" t="s">
        <v>71</v>
      </c>
      <c r="E26" t="b">
        <v>0</v>
      </c>
      <c r="F26" t="b">
        <v>1</v>
      </c>
    </row>
    <row r="27" spans="1:10">
      <c r="A27" t="str">
        <f>_xlfn.REGEXREPLACE(_xlfn.REGEXREPLACE(_xlfn.REGEXREPLACE(_xlfn.REGEXREPLACE(_xlfn.REGEXREPLACE(_xlfn.REGEXREPLACE(LOWER(B29&amp;IF(E29,"","_"&amp;D29)),"(³)","3"),"[ /]","_"),"\$","usd"),"year","yr"),"%","percent"),"²","2")</f>
        <v>annual_discount_rate</v>
      </c>
      <c r="B27" t="s">
        <v>36</v>
      </c>
      <c r="C27" s="271">
        <v>0.82</v>
      </c>
      <c r="E27" t="b">
        <v>1</v>
      </c>
      <c r="F27" t="b">
        <v>0</v>
      </c>
    </row>
    <row r="28" spans="1:10">
      <c r="A28" t="str">
        <f>_xlfn.REGEXREPLACE(_xlfn.REGEXREPLACE(_xlfn.REGEXREPLACE(_xlfn.REGEXREPLACE(_xlfn.REGEXREPLACE(_xlfn.REGEXREPLACE(LOWER(B28&amp;IF(E28,"","_"&amp;D28)),"(³)","3"),"[ /]","_"),"\$","usd"),"year","yr"),"%","percent"),"²","2")</f>
        <v>annual_discount_rate_percent</v>
      </c>
      <c r="B28" t="s">
        <v>193</v>
      </c>
      <c r="C28" s="297">
        <v>10</v>
      </c>
      <c r="D28" t="s">
        <v>71</v>
      </c>
      <c r="E28" t="b">
        <v>0</v>
      </c>
      <c r="F28" t="b">
        <v>1</v>
      </c>
    </row>
    <row r="29" spans="1:10">
      <c r="A29" t="str">
        <f>_xlfn.REGEXREPLACE(_xlfn.REGEXREPLACE(_xlfn.REGEXREPLACE(_xlfn.REGEXREPLACE(_xlfn.REGEXREPLACE(_xlfn.REGEXREPLACE(LOWER(B11&amp;IF(E11,"","_"&amp;D11)),"(³)","3"),"[ /]","_"),"\$","usd"),"year","yr"),"%","percent"),"²","2")</f>
        <v>bare_wall__yr_1_mm</v>
      </c>
      <c r="B29" t="s">
        <v>193</v>
      </c>
      <c r="C29">
        <f>annual_discount_rate_percent/100</f>
        <v>0.1</v>
      </c>
      <c r="D29" t="s">
        <v>71</v>
      </c>
      <c r="E29" t="b">
        <v>1</v>
      </c>
      <c r="F29" t="b">
        <v>0</v>
      </c>
    </row>
    <row r="30" spans="1:10">
      <c r="A30" t="str">
        <f>_xlfn.REGEXREPLACE(_xlfn.REGEXREPLACE(_xlfn.REGEXREPLACE(_xlfn.REGEXREPLACE(_xlfn.REGEXREPLACE(_xlfn.REGEXREPLACE(LOWER(B30&amp;IF(E30,"","_"&amp;D30)),"(³)","3"),"[ /]","_"),"\$","usd"),"year","yr"),"%","percent"),"²","2")</f>
        <v>hrc_price_usd_t</v>
      </c>
      <c r="B30" t="s">
        <v>294</v>
      </c>
      <c r="C30" s="297">
        <v>550</v>
      </c>
      <c r="D30" t="s">
        <v>114</v>
      </c>
      <c r="E30" t="b">
        <v>0</v>
      </c>
      <c r="F30" t="b">
        <v>0</v>
      </c>
      <c r="G30" s="327" t="s">
        <v>410</v>
      </c>
      <c r="H30" s="327"/>
      <c r="I30">
        <f>AVERAGE(725,800)</f>
        <v>762.5</v>
      </c>
    </row>
    <row r="31" spans="1:10">
      <c r="A31" t="str">
        <f>_xlfn.REGEXREPLACE(_xlfn.REGEXREPLACE(_xlfn.REGEXREPLACE(_xlfn.REGEXREPLACE(_xlfn.REGEXREPLACE(_xlfn.REGEXREPLACE(LOWER(B31&amp;IF(E31,"","_"&amp;D31)),"(³)","3"),"[ /]","_"),"\$","usd"),"year","yr"),"%","percent"),"²","2")</f>
        <v>field_coating_usd_joint</v>
      </c>
      <c r="B31" t="s">
        <v>302</v>
      </c>
      <c r="C31" s="338">
        <v>1000</v>
      </c>
      <c r="D31" t="s">
        <v>264</v>
      </c>
      <c r="E31" t="b">
        <v>0</v>
      </c>
      <c r="F31" t="b">
        <v>0</v>
      </c>
      <c r="G31" t="s">
        <v>408</v>
      </c>
    </row>
    <row r="32" spans="1:10">
      <c r="A32" s="232" t="str">
        <f>_xlfn.REGEXREPLACE(_xlfn.REGEXREPLACE(_xlfn.REGEXREPLACE(_xlfn.REGEXREPLACE(_xlfn.REGEXREPLACE(_xlfn.REGEXREPLACE(LOWER(B32&amp;IF(E32,"","_"&amp;D32)),"(³)","3"),"[ /]","_"),"\$","usd"),"year","yr"),"%","percent"),"²","2")</f>
        <v>electrical_energy_usd_mwh</v>
      </c>
      <c r="B32" t="s">
        <v>303</v>
      </c>
      <c r="C32" s="297">
        <v>175</v>
      </c>
      <c r="D32" t="s">
        <v>307</v>
      </c>
      <c r="E32" t="b">
        <v>0</v>
      </c>
      <c r="F32" t="b">
        <v>0</v>
      </c>
    </row>
    <row r="33" spans="1:6">
      <c r="A33" t="str">
        <f>_xlfn.REGEXREPLACE(_xlfn.REGEXREPLACE(_xlfn.REGEXREPLACE(_xlfn.REGEXREPLACE(_xlfn.REGEXREPLACE(_xlfn.REGEXREPLACE(LOWER(B33&amp;IF(E33,"","_"&amp;D33)),"(³)","3"),"[ /]","_"),"\$","usd"),"year","yr"),"%","percent"),"²","2")</f>
        <v>gravitational_acceleration</v>
      </c>
      <c r="B33" t="s">
        <v>33</v>
      </c>
      <c r="C33" s="299">
        <v>9.8066499999999994</v>
      </c>
      <c r="D33" t="s">
        <v>34</v>
      </c>
      <c r="E33" t="b">
        <v>1</v>
      </c>
      <c r="F33" t="b">
        <v>0</v>
      </c>
    </row>
  </sheetData>
  <hyperlinks>
    <hyperlink ref="G22" r:id="rId1" xr:uid="{B65FC443-1221-CE48-A9F7-B2A8789A5F5C}"/>
    <hyperlink ref="G19" r:id="rId2" xr:uid="{26E8F0F0-38A1-4E41-9D12-93529C59C0F8}"/>
    <hyperlink ref="G20" r:id="rId3" xr:uid="{FDBA5EFB-C4D2-2A4E-8F5E-A17FF62C9943}"/>
    <hyperlink ref="G21" r:id="rId4" xr:uid="{084B8C38-7F2F-A04D-8866-186EAC8ADB94}"/>
    <hyperlink ref="G9" r:id="rId5" xr:uid="{D05F0AB7-465E-1941-98EC-21F2231C3247}"/>
    <hyperlink ref="G30" r:id="rId6" xr:uid="{931A2F84-0561-3441-82B8-9E90050F075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78BA-5E80-3042-B3AF-9144313DE68D}">
  <dimension ref="B2:F40"/>
  <sheetViews>
    <sheetView zoomScale="150" zoomScaleNormal="150" workbookViewId="0">
      <pane ySplit="2" topLeftCell="A27" activePane="bottomLeft" state="frozen"/>
      <selection pane="bottomLeft" activeCell="H23" sqref="H23"/>
    </sheetView>
    <sheetView workbookViewId="1"/>
  </sheetViews>
  <sheetFormatPr baseColWidth="10" defaultRowHeight="16"/>
  <cols>
    <col min="1" max="1" width="3" customWidth="1"/>
    <col min="2" max="2" width="26" bestFit="1" customWidth="1"/>
    <col min="3" max="5" width="11.83203125" customWidth="1"/>
  </cols>
  <sheetData>
    <row r="2" spans="2:6">
      <c r="B2" s="233" t="s">
        <v>287</v>
      </c>
      <c r="C2" s="233" t="s">
        <v>78</v>
      </c>
      <c r="D2" s="233" t="s">
        <v>76</v>
      </c>
      <c r="E2" s="233" t="s">
        <v>301</v>
      </c>
      <c r="F2" s="233" t="s">
        <v>305</v>
      </c>
    </row>
    <row r="3" spans="2:6">
      <c r="B3" t="s">
        <v>291</v>
      </c>
      <c r="C3" s="236">
        <f>x70_steel_density</f>
        <v>7850</v>
      </c>
      <c r="D3" s="234" t="s">
        <v>22</v>
      </c>
      <c r="E3" t="b">
        <v>1</v>
      </c>
    </row>
    <row r="4" spans="2:6">
      <c r="B4" t="s">
        <v>314</v>
      </c>
      <c r="C4">
        <f>bare_wall__yr_1_mm</f>
        <v>13.28</v>
      </c>
      <c r="D4" t="s">
        <v>27</v>
      </c>
      <c r="E4" t="b">
        <v>0</v>
      </c>
    </row>
    <row r="5" spans="2:6">
      <c r="B5" t="s">
        <v>292</v>
      </c>
      <c r="C5">
        <f>outside_diameter</f>
        <v>0.71120000000000005</v>
      </c>
      <c r="D5" t="s">
        <v>14</v>
      </c>
      <c r="E5" t="b">
        <v>1</v>
      </c>
    </row>
    <row r="6" spans="2:6">
      <c r="B6" t="s">
        <v>315</v>
      </c>
      <c r="C6" s="236">
        <f>pipeline_length</f>
        <v>70000</v>
      </c>
      <c r="D6" t="s">
        <v>14</v>
      </c>
      <c r="E6" t="b">
        <v>1</v>
      </c>
    </row>
    <row r="7" spans="2:6">
      <c r="B7" t="s">
        <v>316</v>
      </c>
      <c r="C7" s="235">
        <f>hrc_price_usd_t/1000</f>
        <v>0.55000000000000004</v>
      </c>
      <c r="D7" t="s">
        <v>319</v>
      </c>
      <c r="E7" t="b">
        <v>0</v>
      </c>
    </row>
    <row r="8" spans="2:6">
      <c r="B8" t="s">
        <v>321</v>
      </c>
      <c r="C8">
        <v>15</v>
      </c>
      <c r="D8" t="s">
        <v>114</v>
      </c>
      <c r="E8" t="b">
        <v>0</v>
      </c>
    </row>
    <row r="9" spans="2:6">
      <c r="B9" t="s">
        <v>322</v>
      </c>
      <c r="C9">
        <v>120</v>
      </c>
      <c r="D9" t="s">
        <v>114</v>
      </c>
      <c r="E9" t="b">
        <v>0</v>
      </c>
    </row>
    <row r="10" spans="2:6">
      <c r="B10" t="s">
        <v>323</v>
      </c>
      <c r="C10">
        <v>35</v>
      </c>
      <c r="D10" t="s">
        <v>114</v>
      </c>
      <c r="E10" t="b">
        <v>0</v>
      </c>
    </row>
    <row r="11" spans="2:6">
      <c r="B11" t="s">
        <v>318</v>
      </c>
      <c r="C11">
        <f>SUM(C8:C10)</f>
        <v>170</v>
      </c>
      <c r="D11" t="s">
        <v>114</v>
      </c>
    </row>
    <row r="12" spans="2:6">
      <c r="B12" t="s">
        <v>318</v>
      </c>
      <c r="C12" s="235">
        <f>SUM(C8:C10)/1000</f>
        <v>0.17</v>
      </c>
      <c r="D12" t="s">
        <v>319</v>
      </c>
      <c r="E12" t="b">
        <v>0</v>
      </c>
    </row>
    <row r="13" spans="2:6">
      <c r="B13" t="s">
        <v>413</v>
      </c>
      <c r="C13" s="237">
        <f>(C7*2+C12)</f>
        <v>1.27</v>
      </c>
      <c r="D13" t="s">
        <v>319</v>
      </c>
      <c r="E13" t="b">
        <v>0</v>
      </c>
    </row>
    <row r="14" spans="2:6">
      <c r="B14" t="s">
        <v>413</v>
      </c>
      <c r="C14" s="236">
        <f>cost_per_steel_weight*1000</f>
        <v>1270</v>
      </c>
      <c r="D14" t="s">
        <v>114</v>
      </c>
    </row>
    <row r="15" spans="2:6">
      <c r="B15" t="s">
        <v>365</v>
      </c>
      <c r="C15" s="278">
        <f>bare_inside_diameter_yr_1</f>
        <v>0.68464000000000003</v>
      </c>
      <c r="D15" t="s">
        <v>14</v>
      </c>
      <c r="E15" t="b">
        <v>1</v>
      </c>
    </row>
    <row r="16" spans="2:6">
      <c r="B16" t="s">
        <v>364</v>
      </c>
      <c r="C16" s="279">
        <f>PI()/4*(outside_diameter^2-bare_inside_diameter_yr_1^2)</f>
        <v>2.9117466978856206E-2</v>
      </c>
      <c r="D16" s="234" t="s">
        <v>348</v>
      </c>
      <c r="E16" t="b">
        <v>1</v>
      </c>
    </row>
    <row r="17" spans="2:6">
      <c r="B17" s="238" t="s">
        <v>366</v>
      </c>
      <c r="C17" s="236">
        <f>C18/1000</f>
        <v>16000.048104881484</v>
      </c>
      <c r="D17" t="s">
        <v>80</v>
      </c>
    </row>
    <row r="18" spans="2:6">
      <c r="B18" s="238" t="s">
        <v>366</v>
      </c>
      <c r="C18" s="239">
        <f>volume_1_m_bare*C3*C6</f>
        <v>16000048.104881484</v>
      </c>
      <c r="D18" s="238" t="s">
        <v>317</v>
      </c>
      <c r="E18" t="b">
        <v>1</v>
      </c>
    </row>
    <row r="19" spans="2:6">
      <c r="B19" t="s">
        <v>324</v>
      </c>
      <c r="C19" s="163">
        <f>C13*C18</f>
        <v>20320061.093199484</v>
      </c>
      <c r="D19" t="s">
        <v>320</v>
      </c>
    </row>
    <row r="22" spans="2:6">
      <c r="B22" s="233" t="s">
        <v>287</v>
      </c>
      <c r="C22" s="233" t="s">
        <v>78</v>
      </c>
      <c r="D22" s="233" t="s">
        <v>76</v>
      </c>
      <c r="E22" s="233" t="s">
        <v>301</v>
      </c>
      <c r="F22" s="233" t="s">
        <v>305</v>
      </c>
    </row>
    <row r="23" spans="2:6">
      <c r="B23" t="s">
        <v>291</v>
      </c>
      <c r="C23" s="236">
        <f>x70_steel_density</f>
        <v>7850</v>
      </c>
      <c r="D23" s="234" t="s">
        <v>22</v>
      </c>
      <c r="E23" t="b">
        <v>1</v>
      </c>
    </row>
    <row r="24" spans="2:6">
      <c r="B24" t="s">
        <v>325</v>
      </c>
      <c r="C24">
        <f>fbe_wall__yr_1_mm</f>
        <v>9.5299999999999994</v>
      </c>
      <c r="D24" t="s">
        <v>27</v>
      </c>
      <c r="E24" t="b">
        <v>0</v>
      </c>
    </row>
    <row r="25" spans="2:6">
      <c r="B25" t="s">
        <v>367</v>
      </c>
      <c r="C25">
        <f>fbe_inside_diameter_yr_1</f>
        <v>0.69214000000000009</v>
      </c>
      <c r="D25" t="s">
        <v>14</v>
      </c>
      <c r="E25" t="b">
        <v>1</v>
      </c>
    </row>
    <row r="26" spans="2:6">
      <c r="B26" t="s">
        <v>368</v>
      </c>
      <c r="C26">
        <f>PI()*(outside_diameter^2-fbe_inside_diameter_yr_1^2)/4</f>
        <v>2.1007563353338601E-2</v>
      </c>
      <c r="D26" s="234" t="s">
        <v>348</v>
      </c>
      <c r="E26" t="b">
        <v>1</v>
      </c>
    </row>
    <row r="27" spans="2:6">
      <c r="B27" s="238" t="s">
        <v>369</v>
      </c>
      <c r="C27" s="236">
        <f>C28/1000</f>
        <v>11543.656062659562</v>
      </c>
      <c r="D27" t="s">
        <v>80</v>
      </c>
    </row>
    <row r="28" spans="2:6">
      <c r="B28" s="238" t="s">
        <v>369</v>
      </c>
      <c r="C28" s="239">
        <f>volume_1_m_fbe*C3*C6</f>
        <v>11543656.062659562</v>
      </c>
      <c r="D28" s="238" t="s">
        <v>317</v>
      </c>
      <c r="E28" t="b">
        <v>1</v>
      </c>
    </row>
    <row r="29" spans="2:6">
      <c r="B29" t="s">
        <v>326</v>
      </c>
      <c r="C29" s="163">
        <f>C13*C28</f>
        <v>14660443.199577643</v>
      </c>
      <c r="D29" t="s">
        <v>320</v>
      </c>
    </row>
    <row r="32" spans="2:6">
      <c r="C32" t="s">
        <v>41</v>
      </c>
      <c r="D32" t="s">
        <v>393</v>
      </c>
      <c r="E32" t="s">
        <v>39</v>
      </c>
      <c r="F32" t="s">
        <v>328</v>
      </c>
    </row>
    <row r="33" spans="2:6">
      <c r="B33" s="167" t="s">
        <v>391</v>
      </c>
      <c r="C33">
        <f>bare_wall__yr_1_mm</f>
        <v>13.28</v>
      </c>
      <c r="D33">
        <f>C24</f>
        <v>9.5299999999999994</v>
      </c>
      <c r="F33" s="164">
        <f>1-C35/D35</f>
        <v>-0.38604684841894077</v>
      </c>
    </row>
    <row r="34" spans="2:6">
      <c r="B34" s="167" t="s">
        <v>392</v>
      </c>
      <c r="C34" s="236">
        <f>bare_steel_weight_t</f>
        <v>16000.048104881484</v>
      </c>
      <c r="D34" s="236">
        <f>fbe_steel_weight_t</f>
        <v>11543.656062659562</v>
      </c>
      <c r="E34" s="164"/>
    </row>
    <row r="35" spans="2:6">
      <c r="B35" s="167" t="s">
        <v>327</v>
      </c>
      <c r="C35" s="162">
        <f>capex_steel_bare</f>
        <v>20320061.093199484</v>
      </c>
      <c r="D35" s="162">
        <f>capex_steel_fbe</f>
        <v>14660443.199577643</v>
      </c>
      <c r="E35" s="162"/>
    </row>
    <row r="37" spans="2:6">
      <c r="B37" s="240" t="s">
        <v>329</v>
      </c>
      <c r="C37" s="240" t="s">
        <v>330</v>
      </c>
      <c r="D37" s="240" t="s">
        <v>331</v>
      </c>
    </row>
    <row r="38" spans="2:6">
      <c r="B38" s="240" t="s">
        <v>41</v>
      </c>
      <c r="C38" s="242">
        <f>C19</f>
        <v>20320061.093199484</v>
      </c>
      <c r="D38" s="241">
        <v>1</v>
      </c>
    </row>
    <row r="39" spans="2:6">
      <c r="B39" s="240" t="s">
        <v>42</v>
      </c>
      <c r="C39" s="242">
        <f>C29</f>
        <v>14660443.199577643</v>
      </c>
      <c r="D39" s="243">
        <f>C39/C38</f>
        <v>0.72147633475787398</v>
      </c>
    </row>
    <row r="40" spans="2:6">
      <c r="B40" s="240" t="s">
        <v>39</v>
      </c>
      <c r="C40" s="242">
        <f>C38-C39</f>
        <v>5659617.8936218414</v>
      </c>
      <c r="D40" s="243">
        <f>C40/C38</f>
        <v>0.27852366524212596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8109-15E4-A940-B9BB-5B54D77C876A}">
  <dimension ref="A1:E5"/>
  <sheetViews>
    <sheetView zoomScale="150" zoomScaleNormal="150" workbookViewId="0">
      <pane ySplit="1" topLeftCell="A2" activePane="bottomLeft" state="frozen"/>
      <selection pane="bottomLeft" activeCell="B5" sqref="B5"/>
    </sheetView>
    <sheetView workbookViewId="1"/>
  </sheetViews>
  <sheetFormatPr baseColWidth="10" defaultRowHeight="16"/>
  <cols>
    <col min="1" max="1" width="38.33203125" customWidth="1"/>
  </cols>
  <sheetData>
    <row r="1" spans="1:5">
      <c r="A1" s="233" t="s">
        <v>287</v>
      </c>
      <c r="B1" s="233" t="s">
        <v>78</v>
      </c>
      <c r="C1" s="233" t="s">
        <v>76</v>
      </c>
      <c r="D1" s="233" t="s">
        <v>301</v>
      </c>
      <c r="E1" s="233" t="s">
        <v>305</v>
      </c>
    </row>
    <row r="2" spans="1:5">
      <c r="A2" t="s">
        <v>335</v>
      </c>
      <c r="B2" s="244">
        <v>4.5</v>
      </c>
      <c r="C2" t="s">
        <v>123</v>
      </c>
    </row>
    <row r="3" spans="1:5">
      <c r="A3" t="s">
        <v>334</v>
      </c>
      <c r="B3">
        <f>design_flow_rate_l_s/1000</f>
        <v>0.7</v>
      </c>
      <c r="C3" t="s">
        <v>18</v>
      </c>
    </row>
    <row r="4" spans="1:5">
      <c r="A4" t="s">
        <v>332</v>
      </c>
      <c r="B4">
        <f>(24 * 60 * 60)</f>
        <v>86400</v>
      </c>
      <c r="C4" t="s">
        <v>333</v>
      </c>
    </row>
    <row r="5" spans="1:5">
      <c r="A5" t="s">
        <v>336</v>
      </c>
      <c r="B5" s="162">
        <f>Dosing_investment*B3*B4</f>
        <v>272160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CF63-E6D6-E64D-988E-570BBA6A8598}">
  <dimension ref="A1:I10"/>
  <sheetViews>
    <sheetView zoomScale="150" zoomScaleNormal="150" workbookViewId="0">
      <pane ySplit="1" topLeftCell="A2" activePane="bottomLeft" state="frozen"/>
      <selection pane="bottomLeft" activeCell="G15" sqref="G15"/>
    </sheetView>
    <sheetView workbookViewId="1"/>
  </sheetViews>
  <sheetFormatPr baseColWidth="10" defaultRowHeight="15"/>
  <cols>
    <col min="1" max="1" width="34" style="246" bestFit="1" customWidth="1"/>
    <col min="2" max="2" width="11.1640625" style="246" bestFit="1" customWidth="1"/>
    <col min="3" max="4" width="11.33203125" style="246" bestFit="1" customWidth="1"/>
    <col min="5" max="16384" width="10.83203125" style="246"/>
  </cols>
  <sheetData>
    <row r="1" spans="1:9" customFormat="1" ht="16">
      <c r="A1" s="233" t="s">
        <v>287</v>
      </c>
      <c r="B1" s="233" t="s">
        <v>78</v>
      </c>
      <c r="C1" s="233" t="s">
        <v>76</v>
      </c>
      <c r="D1" s="233"/>
      <c r="E1" s="233"/>
    </row>
    <row r="2" spans="1:9">
      <c r="A2" s="247" t="s">
        <v>363</v>
      </c>
      <c r="B2" s="254">
        <v>5</v>
      </c>
      <c r="C2" s="246" t="s">
        <v>337</v>
      </c>
      <c r="I2" s="248"/>
    </row>
    <row r="3" spans="1:9">
      <c r="A3" s="276" t="s">
        <v>360</v>
      </c>
      <c r="B3" s="255">
        <f>fbe_inside_diameter_yr_1</f>
        <v>0.69214000000000009</v>
      </c>
      <c r="C3" s="246" t="s">
        <v>14</v>
      </c>
    </row>
    <row r="4" spans="1:9">
      <c r="A4" s="276" t="s">
        <v>361</v>
      </c>
      <c r="B4" s="246">
        <f>pipeline_length</f>
        <v>70000</v>
      </c>
      <c r="C4" s="246" t="s">
        <v>14</v>
      </c>
    </row>
    <row r="5" spans="1:9">
      <c r="A5" s="249" t="s">
        <v>362</v>
      </c>
      <c r="B5" s="256">
        <f>PI()*fbe_inside_diameter_yr_1*pipeline_length</f>
        <v>152209.53574789478</v>
      </c>
      <c r="C5" s="247" t="s">
        <v>132</v>
      </c>
    </row>
    <row r="6" spans="1:9">
      <c r="A6" s="276" t="s">
        <v>419</v>
      </c>
      <c r="B6" s="257">
        <f>FBE_cost_per_surface*fbe_inside_surface</f>
        <v>761047.67873947392</v>
      </c>
      <c r="C6" s="258"/>
    </row>
    <row r="7" spans="1:9">
      <c r="A7" s="276" t="s">
        <v>330</v>
      </c>
      <c r="B7" s="257">
        <f>capex_steel_fbe</f>
        <v>14660443.199577643</v>
      </c>
      <c r="F7" s="249"/>
      <c r="G7" s="248"/>
      <c r="H7" s="245"/>
      <c r="I7" s="245"/>
    </row>
    <row r="8" spans="1:9">
      <c r="B8" s="257">
        <f>SUM(B6:B7)</f>
        <v>15421490.878317116</v>
      </c>
      <c r="F8" s="249"/>
      <c r="G8" s="245"/>
      <c r="H8" s="245"/>
      <c r="I8" s="245"/>
    </row>
    <row r="9" spans="1:9">
      <c r="A9" s="276" t="s">
        <v>394</v>
      </c>
      <c r="B9" s="280">
        <f>interior_fbe_capex/FBE_plus_bare</f>
        <v>4.9349812203275376E-2</v>
      </c>
      <c r="F9" s="249"/>
      <c r="G9" s="250"/>
      <c r="H9" s="245"/>
      <c r="I9" s="245"/>
    </row>
    <row r="10" spans="1:9">
      <c r="A10" s="276" t="s">
        <v>395</v>
      </c>
      <c r="B10" s="280">
        <f>B7/FBE_plus_bare</f>
        <v>0.95065018779672472</v>
      </c>
      <c r="F10" s="251"/>
      <c r="G10" s="252"/>
      <c r="H10" s="245"/>
      <c r="I10" s="253"/>
    </row>
  </sheetData>
  <pageMargins left="0.7" right="0.7" top="0.75" bottom="0.75" header="0.3" footer="0.3"/>
  <pageSetup orientation="portrait" horizontalDpi="0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A13A2-911B-9D49-B1C9-9DED1E3BE9CB}">
  <dimension ref="B2:G24"/>
  <sheetViews>
    <sheetView zoomScale="134" workbookViewId="0">
      <selection activeCell="C16" sqref="C16"/>
    </sheetView>
    <sheetView workbookViewId="1"/>
  </sheetViews>
  <sheetFormatPr baseColWidth="10" defaultRowHeight="16"/>
  <cols>
    <col min="1" max="1" width="4" customWidth="1"/>
    <col min="2" max="2" width="31" bestFit="1" customWidth="1"/>
    <col min="3" max="3" width="15" bestFit="1" customWidth="1"/>
    <col min="5" max="5" width="15" bestFit="1" customWidth="1"/>
  </cols>
  <sheetData>
    <row r="2" spans="2:7">
      <c r="B2" s="277" t="s">
        <v>125</v>
      </c>
      <c r="C2" s="277" t="s">
        <v>135</v>
      </c>
    </row>
    <row r="3" spans="2:7">
      <c r="B3" t="s">
        <v>338</v>
      </c>
      <c r="C3" s="166">
        <f>C$9*D3</f>
        <v>24</v>
      </c>
      <c r="D3" s="259">
        <v>2.4E-2</v>
      </c>
    </row>
    <row r="4" spans="2:7">
      <c r="B4" t="s">
        <v>339</v>
      </c>
      <c r="C4" s="166">
        <f t="shared" ref="C4:C8" si="0">C$9*D4</f>
        <v>15</v>
      </c>
      <c r="D4" s="259">
        <v>1.4999999999999999E-2</v>
      </c>
      <c r="G4">
        <f>43/5</f>
        <v>8.6</v>
      </c>
    </row>
    <row r="5" spans="2:7">
      <c r="B5" t="s">
        <v>340</v>
      </c>
      <c r="C5" s="166">
        <f t="shared" si="0"/>
        <v>549</v>
      </c>
      <c r="D5" s="259">
        <v>0.54900000000000004</v>
      </c>
    </row>
    <row r="6" spans="2:7">
      <c r="B6" t="s">
        <v>341</v>
      </c>
      <c r="C6" s="166">
        <f t="shared" si="0"/>
        <v>162</v>
      </c>
      <c r="D6" s="259">
        <v>0.16200000000000001</v>
      </c>
    </row>
    <row r="7" spans="2:7">
      <c r="B7" t="s">
        <v>342</v>
      </c>
      <c r="C7" s="166">
        <f t="shared" si="0"/>
        <v>197</v>
      </c>
      <c r="D7" s="259">
        <v>0.19700000000000001</v>
      </c>
    </row>
    <row r="8" spans="2:7">
      <c r="B8" s="238" t="s">
        <v>343</v>
      </c>
      <c r="C8" s="262">
        <f t="shared" si="0"/>
        <v>53</v>
      </c>
      <c r="D8" s="260">
        <v>5.2999999999999999E-2</v>
      </c>
    </row>
    <row r="9" spans="2:7">
      <c r="B9" t="s">
        <v>344</v>
      </c>
      <c r="C9" s="166">
        <f>field_coating_usd_joint</f>
        <v>1000</v>
      </c>
      <c r="D9" s="261">
        <f>SUM(D3:D8)</f>
        <v>1</v>
      </c>
    </row>
    <row r="11" spans="2:7">
      <c r="B11" t="s">
        <v>304</v>
      </c>
      <c r="C11">
        <f>pipeline_length</f>
        <v>70000</v>
      </c>
    </row>
    <row r="12" spans="2:7">
      <c r="B12" t="s">
        <v>293</v>
      </c>
      <c r="C12">
        <f>segment_length</f>
        <v>12</v>
      </c>
    </row>
    <row r="13" spans="2:7">
      <c r="B13" s="238" t="s">
        <v>346</v>
      </c>
      <c r="C13" s="328">
        <f>ROUNDUP(pipeline_length/segment_length,0)</f>
        <v>5834</v>
      </c>
      <c r="E13" s="339"/>
    </row>
    <row r="14" spans="2:7">
      <c r="B14" t="s">
        <v>345</v>
      </c>
      <c r="C14" s="162">
        <f>C13*C9</f>
        <v>5834000</v>
      </c>
    </row>
    <row r="16" spans="2:7">
      <c r="B16" t="s">
        <v>420</v>
      </c>
      <c r="C16" s="342">
        <v>4.1999999999999997E-3</v>
      </c>
      <c r="D16" s="281"/>
    </row>
    <row r="17" spans="2:5">
      <c r="B17" t="s">
        <v>421</v>
      </c>
      <c r="C17" s="341">
        <f>1-C16</f>
        <v>0.99580000000000002</v>
      </c>
    </row>
    <row r="18" spans="2:5">
      <c r="B18" t="s">
        <v>422</v>
      </c>
      <c r="C18">
        <f>ROUND(field_coating_total/Shop_fbe_coating,1)</f>
        <v>7.7</v>
      </c>
    </row>
    <row r="19" spans="2:5">
      <c r="B19" t="s">
        <v>423</v>
      </c>
      <c r="C19" s="236">
        <f>(field_coating_total/C16-Shop_fbe_coating/C17)/(Shop_fbe_coating/C17)</f>
        <v>1816.5124340943278</v>
      </c>
    </row>
    <row r="21" spans="2:5">
      <c r="B21" t="s">
        <v>373</v>
      </c>
      <c r="C21" s="162">
        <f>capex_steel_fbe</f>
        <v>14660443.199577643</v>
      </c>
      <c r="D21" s="164">
        <f>Total_Steel_cost/Total_Field_Shop_Steel</f>
        <v>0.68972498840442531</v>
      </c>
    </row>
    <row r="22" spans="2:5">
      <c r="B22" t="s">
        <v>372</v>
      </c>
      <c r="C22" s="162">
        <f>field_coating_total</f>
        <v>5834000</v>
      </c>
      <c r="D22" s="164">
        <f>field_Joint_Coating/Total_Field_Shop_Steel</f>
        <v>0.27447025492840094</v>
      </c>
      <c r="E22" s="340"/>
    </row>
    <row r="23" spans="2:5">
      <c r="B23" t="s">
        <v>371</v>
      </c>
      <c r="C23" s="162">
        <f>interior_fbe_capex</f>
        <v>761047.67873947392</v>
      </c>
      <c r="D23" s="164">
        <f>Shop_fbe_coating/Total_Field_Shop_Steel</f>
        <v>3.5804756667173671E-2</v>
      </c>
    </row>
    <row r="24" spans="2:5">
      <c r="B24" t="s">
        <v>374</v>
      </c>
      <c r="C24" s="162">
        <f>SUM(C21:C23)</f>
        <v>21255490.878317118</v>
      </c>
      <c r="D24" s="16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EADF-8A01-E74D-A0E2-986F52611BCE}">
  <dimension ref="B1:L15"/>
  <sheetViews>
    <sheetView zoomScale="170" zoomScaleNormal="170" workbookViewId="0">
      <pane ySplit="1" topLeftCell="A2" activePane="bottomLeft" state="frozen"/>
      <selection pane="bottomLeft" activeCell="F11" sqref="F11"/>
    </sheetView>
    <sheetView workbookViewId="1"/>
  </sheetViews>
  <sheetFormatPr baseColWidth="10" defaultRowHeight="16"/>
  <cols>
    <col min="2" max="2" width="22.33203125" bestFit="1" customWidth="1"/>
    <col min="3" max="3" width="12" bestFit="1" customWidth="1"/>
    <col min="4" max="6" width="14.1640625" customWidth="1"/>
    <col min="7" max="7" width="17" bestFit="1" customWidth="1"/>
    <col min="8" max="8" width="12" bestFit="1" customWidth="1"/>
    <col min="9" max="9" width="11.1640625" customWidth="1"/>
    <col min="10" max="10" width="15.33203125" bestFit="1" customWidth="1"/>
    <col min="11" max="11" width="15.6640625" bestFit="1" customWidth="1"/>
  </cols>
  <sheetData>
    <row r="1" spans="2:12">
      <c r="B1" s="233" t="s">
        <v>287</v>
      </c>
      <c r="C1" s="233" t="s">
        <v>78</v>
      </c>
      <c r="D1" s="233" t="s">
        <v>76</v>
      </c>
    </row>
    <row r="2" spans="2:12">
      <c r="B2" t="s">
        <v>334</v>
      </c>
      <c r="C2">
        <v>0.7</v>
      </c>
      <c r="D2" t="s">
        <v>18</v>
      </c>
    </row>
    <row r="3" spans="2:12">
      <c r="B3" t="s">
        <v>334</v>
      </c>
      <c r="C3">
        <f>C2*3600</f>
        <v>2520</v>
      </c>
      <c r="D3" t="s">
        <v>352</v>
      </c>
    </row>
    <row r="4" spans="2:12">
      <c r="B4" t="s">
        <v>334</v>
      </c>
      <c r="C4">
        <f>C3*24*30</f>
        <v>1814400</v>
      </c>
      <c r="D4" t="s">
        <v>351</v>
      </c>
    </row>
    <row r="5" spans="2:12">
      <c r="B5" t="s">
        <v>231</v>
      </c>
      <c r="C5">
        <f>annual_hours_operation_h_yr</f>
        <v>8400</v>
      </c>
      <c r="D5" t="s">
        <v>347</v>
      </c>
    </row>
    <row r="6" spans="2:12">
      <c r="B6" t="s">
        <v>349</v>
      </c>
      <c r="C6" s="236">
        <f>C5*C3</f>
        <v>21168000</v>
      </c>
      <c r="D6" t="s">
        <v>348</v>
      </c>
    </row>
    <row r="7" spans="2:12">
      <c r="B7" t="s">
        <v>313</v>
      </c>
      <c r="C7">
        <f>fluid_density</f>
        <v>1030</v>
      </c>
      <c r="D7" s="234" t="s">
        <v>22</v>
      </c>
      <c r="E7" s="264"/>
      <c r="F7" s="264"/>
      <c r="G7" s="264"/>
      <c r="H7" s="264"/>
      <c r="I7" s="264"/>
      <c r="J7" s="266"/>
      <c r="K7" s="266"/>
      <c r="L7" s="265"/>
    </row>
    <row r="8" spans="2:12">
      <c r="B8" s="264" t="s">
        <v>358</v>
      </c>
      <c r="C8" s="273">
        <f>annual_discount_rate</f>
        <v>0.1</v>
      </c>
      <c r="D8" s="264"/>
    </row>
    <row r="9" spans="2:12">
      <c r="B9" s="264" t="s">
        <v>390</v>
      </c>
      <c r="C9" s="296">
        <v>0.2</v>
      </c>
    </row>
    <row r="10" spans="2:12" ht="34">
      <c r="B10" t="s">
        <v>356</v>
      </c>
      <c r="C10" t="s">
        <v>353</v>
      </c>
      <c r="D10" s="270" t="s">
        <v>355</v>
      </c>
      <c r="E10" s="270" t="s">
        <v>354</v>
      </c>
      <c r="F10" t="s">
        <v>61</v>
      </c>
      <c r="G10" s="270" t="s">
        <v>357</v>
      </c>
    </row>
    <row r="11" spans="2:12">
      <c r="B11" t="s">
        <v>350</v>
      </c>
      <c r="C11" s="271">
        <v>26</v>
      </c>
      <c r="D11" s="236">
        <f>C11*$C$6/1000</f>
        <v>550368</v>
      </c>
      <c r="E11" s="269">
        <f>2.09*(1-C9)</f>
        <v>1.6719999999999999</v>
      </c>
      <c r="F11" s="267">
        <f>E11*D11</f>
        <v>920215.29599999997</v>
      </c>
      <c r="G11" s="268">
        <f>D11/12</f>
        <v>45864</v>
      </c>
    </row>
    <row r="12" spans="2:12">
      <c r="B12" t="s">
        <v>60</v>
      </c>
      <c r="C12" s="271">
        <v>0.456349206349206</v>
      </c>
      <c r="D12" s="236">
        <f>C12*$C$6/1000</f>
        <v>9659.9999999999927</v>
      </c>
      <c r="E12" s="269">
        <f>16*(1-C9)</f>
        <v>12.8</v>
      </c>
      <c r="F12" s="267">
        <f>E12*D12</f>
        <v>123647.99999999991</v>
      </c>
      <c r="G12" s="268">
        <f>D12/12</f>
        <v>804.99999999999943</v>
      </c>
    </row>
    <row r="13" spans="2:12">
      <c r="B13" t="s">
        <v>61</v>
      </c>
      <c r="F13" s="162">
        <f>SUBTOTAL(109,Table9[Total])</f>
        <v>1043863.2959999999</v>
      </c>
      <c r="G13" s="272"/>
    </row>
    <row r="14" spans="2:12">
      <c r="F14" s="162"/>
    </row>
    <row r="15" spans="2:12">
      <c r="E15" t="s">
        <v>359</v>
      </c>
      <c r="F15" s="263">
        <f>-PV(C8,25,Table9[[#Totals],[Total]])</f>
        <v>9475188.9113527965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03D1-A75D-E941-9154-04654FBCA689}">
  <dimension ref="B2:D8"/>
  <sheetViews>
    <sheetView zoomScale="163" zoomScaleNormal="163" workbookViewId="0">
      <selection activeCell="C8" sqref="C8"/>
    </sheetView>
    <sheetView workbookViewId="1"/>
  </sheetViews>
  <sheetFormatPr baseColWidth="10" defaultRowHeight="16"/>
  <cols>
    <col min="1" max="1" width="4.33203125" customWidth="1"/>
    <col min="2" max="2" width="19.83203125" bestFit="1" customWidth="1"/>
    <col min="3" max="3" width="13.33203125" bestFit="1" customWidth="1"/>
  </cols>
  <sheetData>
    <row r="2" spans="2:4">
      <c r="B2" s="233" t="s">
        <v>287</v>
      </c>
      <c r="C2" s="233" t="s">
        <v>78</v>
      </c>
      <c r="D2" s="233" t="s">
        <v>76</v>
      </c>
    </row>
    <row r="3" spans="2:4">
      <c r="B3" t="s">
        <v>377</v>
      </c>
      <c r="C3" s="162">
        <v>8000</v>
      </c>
      <c r="D3" t="s">
        <v>151</v>
      </c>
    </row>
    <row r="4" spans="2:4">
      <c r="B4" t="s">
        <v>378</v>
      </c>
      <c r="C4" s="162">
        <v>4000</v>
      </c>
      <c r="D4" t="s">
        <v>151</v>
      </c>
    </row>
    <row r="5" spans="2:4">
      <c r="B5" t="s">
        <v>375</v>
      </c>
      <c r="C5" s="162">
        <f>C3*pipeline_length/1000</f>
        <v>560000</v>
      </c>
    </row>
    <row r="6" spans="2:4">
      <c r="B6" t="s">
        <v>376</v>
      </c>
      <c r="C6" s="162">
        <f>C4*pipeline_length/1000</f>
        <v>280000</v>
      </c>
    </row>
    <row r="7" spans="2:4">
      <c r="B7" t="s">
        <v>379</v>
      </c>
      <c r="C7" s="263">
        <f>-PV(annual_discount_rate,25,C5)</f>
        <v>5083142.4102084404</v>
      </c>
    </row>
    <row r="8" spans="2:4">
      <c r="B8" t="s">
        <v>380</v>
      </c>
      <c r="C8" s="263">
        <f>-PV(annual_discount_rate,25,C6)</f>
        <v>2541571.2051042202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8F08-E7FB-424B-BF34-D78E61D823D3}">
  <sheetPr>
    <tabColor theme="0" tint="-0.499984740745262"/>
  </sheetPr>
  <dimension ref="A1:AE79"/>
  <sheetViews>
    <sheetView topLeftCell="C21" zoomScale="180" zoomScaleNormal="180" zoomScaleSheetLayoutView="170" workbookViewId="0">
      <selection activeCell="E22" sqref="E22"/>
    </sheetView>
    <sheetView tabSelected="1" zoomScale="170" zoomScaleNormal="170" workbookViewId="1">
      <selection activeCell="Q46" sqref="Q46"/>
    </sheetView>
  </sheetViews>
  <sheetFormatPr baseColWidth="10" defaultColWidth="13.83203125" defaultRowHeight="12"/>
  <cols>
    <col min="1" max="1" width="7.1640625" style="170" bestFit="1" customWidth="1"/>
    <col min="2" max="3" width="9.1640625" style="170" customWidth="1"/>
    <col min="4" max="4" width="10.6640625" style="170" customWidth="1"/>
    <col min="5" max="5" width="15" style="170" customWidth="1"/>
    <col min="6" max="6" width="9.1640625" style="170" customWidth="1"/>
    <col min="7" max="7" width="10.33203125" style="170" customWidth="1"/>
    <col min="8" max="8" width="8" style="170" customWidth="1"/>
    <col min="9" max="9" width="8.33203125" style="170" bestFit="1" customWidth="1"/>
    <col min="10" max="10" width="12" style="170" bestFit="1" customWidth="1"/>
    <col min="11" max="11" width="13.83203125" style="170" bestFit="1" customWidth="1"/>
    <col min="12" max="12" width="7.1640625" style="171" bestFit="1" customWidth="1"/>
    <col min="13" max="13" width="4.83203125" style="171" bestFit="1" customWidth="1"/>
    <col min="14" max="14" width="7.5" style="171" customWidth="1"/>
    <col min="15" max="15" width="8.1640625" style="171" bestFit="1" customWidth="1"/>
    <col min="16" max="16" width="9.6640625" style="171" bestFit="1" customWidth="1"/>
    <col min="17" max="17" width="8.83203125" style="171" bestFit="1" customWidth="1"/>
    <col min="18" max="18" width="10.33203125" style="171" bestFit="1" customWidth="1"/>
    <col min="19" max="19" width="5.1640625" style="171" bestFit="1" customWidth="1"/>
    <col min="20" max="21" width="6.6640625" style="171" bestFit="1" customWidth="1"/>
    <col min="22" max="23" width="10.6640625" style="171" bestFit="1" customWidth="1"/>
    <col min="24" max="24" width="6.83203125" style="172" bestFit="1" customWidth="1"/>
    <col min="25" max="25" width="4.83203125" style="173" customWidth="1"/>
    <col min="26" max="26" width="21" style="173" bestFit="1" customWidth="1"/>
    <col min="27" max="27" width="22.6640625" style="173" customWidth="1"/>
    <col min="28" max="28" width="14" style="173" bestFit="1" customWidth="1"/>
    <col min="29" max="16384" width="13.83203125" style="173"/>
  </cols>
  <sheetData>
    <row r="1" spans="1:24">
      <c r="D1" s="174"/>
    </row>
    <row r="2" spans="1:24">
      <c r="D2" s="174"/>
    </row>
    <row r="3" spans="1:24">
      <c r="D3" s="174" t="s">
        <v>304</v>
      </c>
      <c r="E3" s="170">
        <f>pipeline_length</f>
        <v>70000</v>
      </c>
      <c r="F3" s="170" t="s">
        <v>14</v>
      </c>
    </row>
    <row r="4" spans="1:24">
      <c r="D4" s="174" t="s">
        <v>334</v>
      </c>
      <c r="E4" s="170">
        <f>design_flow_rate</f>
        <v>0.7</v>
      </c>
      <c r="F4" s="170" t="s">
        <v>18</v>
      </c>
    </row>
    <row r="5" spans="1:24">
      <c r="D5" s="174" t="s">
        <v>382</v>
      </c>
      <c r="E5" s="170">
        <f>fluid_density</f>
        <v>1030</v>
      </c>
    </row>
    <row r="6" spans="1:24">
      <c r="D6" s="174" t="s">
        <v>279</v>
      </c>
      <c r="E6" s="170">
        <f>Elevation_change</f>
        <v>1000</v>
      </c>
      <c r="F6" s="170" t="s">
        <v>14</v>
      </c>
    </row>
    <row r="7" spans="1:24">
      <c r="D7" s="174" t="s">
        <v>36</v>
      </c>
      <c r="E7" s="170">
        <f>pump_efficiency</f>
        <v>0.82</v>
      </c>
    </row>
    <row r="8" spans="1:24">
      <c r="D8" s="174" t="s">
        <v>231</v>
      </c>
      <c r="E8" s="170">
        <f>annual_hours_operation_h_yr</f>
        <v>8400</v>
      </c>
      <c r="F8" s="170" t="s">
        <v>347</v>
      </c>
    </row>
    <row r="9" spans="1:24" ht="16">
      <c r="A9" s="173"/>
      <c r="B9" s="173"/>
      <c r="D9" s="174" t="s">
        <v>381</v>
      </c>
      <c r="E9" s="289">
        <v>175</v>
      </c>
      <c r="F9" s="170" t="s">
        <v>307</v>
      </c>
    </row>
    <row r="10" spans="1:24">
      <c r="D10" s="174" t="s">
        <v>381</v>
      </c>
      <c r="E10" s="170">
        <f>Projected_MWh/1000</f>
        <v>0.17499999999999999</v>
      </c>
      <c r="F10" s="170" t="s">
        <v>265</v>
      </c>
    </row>
    <row r="11" spans="1:24">
      <c r="D11" s="174" t="s">
        <v>381</v>
      </c>
      <c r="E11" s="170">
        <f>Projected_kWh/1000</f>
        <v>1.75E-4</v>
      </c>
      <c r="F11" s="170" t="s">
        <v>389</v>
      </c>
    </row>
    <row r="12" spans="1:24">
      <c r="D12" s="174" t="s">
        <v>388</v>
      </c>
      <c r="E12" s="290">
        <f ca="1">bare_electricity_yr_1+K22</f>
        <v>15935029.497243077</v>
      </c>
    </row>
    <row r="15" spans="1:24" s="226" customFormat="1">
      <c r="A15" s="222" t="e">
        <f>" Analyzed case: "&amp;B18&amp;". Initial wall thickness = "&amp;ROUND(13.28,2)&amp;" mm; year 25 wall thickness = "&amp;ROUND(D46,2)&amp;" mm. Initial pipe roughness = "&amp;ROUND(B22,2)&amp;" mm; year 25 pipe roughness = "&amp;ROUND(B46,2)&amp;" mm. Fixed parameters: Elevation head = "&amp;Elevation_change_m&amp;" m; pump efficiency = "&amp;pump_efficiency_n&amp;"%; energy cost = "&amp;175&amp;" $/MWh; outside diameter = "&amp;M22&amp;"''; flow rate = "&amp;design_flow_rate_l_s&amp;" L/s; density of water = "&amp;fluid_density&amp;" kg/m3; viscosity of water = "&amp;viscosity_Pa_s&amp;" Pa·s"</f>
        <v>#NAME?</v>
      </c>
      <c r="B15" s="223"/>
      <c r="C15" s="223"/>
      <c r="D15" s="223"/>
      <c r="E15" s="223"/>
      <c r="F15" s="223"/>
      <c r="G15" s="223"/>
      <c r="H15" s="223"/>
      <c r="I15" s="223"/>
      <c r="J15" s="223"/>
      <c r="K15" s="223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5"/>
    </row>
    <row r="16" spans="1:24" s="226" customFormat="1">
      <c r="A16" s="222" t="str">
        <f>" Analyzed case: "&amp;J18&amp;". Initial wall thickness = "&amp;ROUND(D50,2)&amp;" mm; year 25 wall thickness = "&amp;ROUND(D74,2)&amp;" mm. Initial pipe roughness = "&amp;ROUND(B50,2)&amp;" mm; year 25 pipe roughness = "&amp;ROUND(B74,2)&amp;" mm. Fixed parameters: Elevation head = "&amp;Elevation_change_m&amp;" m; pump efficiency = "&amp;pump_efficiency&amp;"%; energy cost = "&amp;Energy_cost&amp;" $/kWh; outside diameter = "&amp;M50&amp;"''; flow rate = "&amp;design_flow_rate_l_s&amp;" L/s; density of water = "&amp;water_density&amp;" kg/m3; viscosity of water = "&amp;viscosity_Pa_s&amp;" Pa·s"</f>
        <v xml:space="preserve"> Analyzed case: FBE coated. Initial wall thickness = 9.53 mm; year 25 wall thickness = 9.53 mm. Initial pipe roughness = 0.01 mm; year 25 pipe roughness = 0.05 mm. Fixed parameters: Elevation head = 1000 m; pump efficiency = 0.82%; energy cost = 0.174 $/kWh; outside diameter = 28''; flow rate = 700 L/s; density of water = 1030 kg/m3; viscosity of water = 0.0013 Pa·s</v>
      </c>
      <c r="B16" s="223"/>
      <c r="C16" s="223"/>
      <c r="D16" s="223"/>
      <c r="E16" s="223"/>
      <c r="F16" s="223"/>
      <c r="G16" s="223"/>
      <c r="H16" s="223"/>
      <c r="I16" s="223"/>
      <c r="J16" s="223"/>
      <c r="K16" s="223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5"/>
    </row>
    <row r="17" spans="1:31" s="226" customFormat="1">
      <c r="A17" s="223"/>
      <c r="B17" s="222" t="s">
        <v>247</v>
      </c>
      <c r="C17" s="223"/>
      <c r="D17" s="227" t="s">
        <v>251</v>
      </c>
      <c r="E17" s="223">
        <f>IF(case_selection="Bare pipe",(wall_thickness_mm+corrosion_rate_mm_yr*Service_life_yr),wall_thickness_mm)</f>
        <v>14.53</v>
      </c>
      <c r="F17" s="223"/>
      <c r="G17" s="227" t="s">
        <v>253</v>
      </c>
      <c r="H17" s="223">
        <f>IF(case_selection="Bare pipe", roughness_bare_pipe,roughness_fbe_pipe)</f>
        <v>0.1</v>
      </c>
      <c r="I17" s="223"/>
      <c r="J17" s="222" t="s">
        <v>247</v>
      </c>
      <c r="K17" s="223"/>
      <c r="L17" s="228" t="s">
        <v>251</v>
      </c>
      <c r="M17" s="224">
        <f>IF(case_selection_2="Bare pipe",(wall_thickness_mm+corrosion_rate_mm_yr*Service_life_yr),wall_thickness_mm)</f>
        <v>9.5299999999999994</v>
      </c>
      <c r="N17" s="224">
        <f>IF(case_selection_2="Bare pipe", roughness_bare_pipe,roughness_fbe_pipe)</f>
        <v>0.01</v>
      </c>
      <c r="O17" s="224"/>
      <c r="P17" s="224"/>
      <c r="Q17" s="224"/>
      <c r="R17" s="224"/>
      <c r="S17" s="224"/>
      <c r="T17" s="228" t="s">
        <v>253</v>
      </c>
      <c r="U17" s="224"/>
      <c r="V17" s="224"/>
      <c r="W17" s="224"/>
      <c r="X17" s="225"/>
    </row>
    <row r="18" spans="1:31" s="226" customFormat="1">
      <c r="A18" s="223"/>
      <c r="B18" s="222" t="s">
        <v>162</v>
      </c>
      <c r="C18" s="223"/>
      <c r="D18" s="227" t="s">
        <v>252</v>
      </c>
      <c r="E18" s="223">
        <f>wall_thickness_mm</f>
        <v>9.5299999999999994</v>
      </c>
      <c r="F18" s="223"/>
      <c r="G18" s="227" t="s">
        <v>254</v>
      </c>
      <c r="H18" s="223">
        <f>IF(case_selection="Bare pipe",roughness_bare_pipe_yr_25,roughness_FBE_yr_25 )</f>
        <v>0.3</v>
      </c>
      <c r="I18" s="223"/>
      <c r="J18" s="222" t="s">
        <v>246</v>
      </c>
      <c r="K18" s="223"/>
      <c r="L18" s="228" t="s">
        <v>252</v>
      </c>
      <c r="M18" s="224">
        <f>wall_thickness_mm</f>
        <v>9.5299999999999994</v>
      </c>
      <c r="N18" s="224">
        <f>IF(case_selection_2="Bare pipe",roughness_bare_pipe_yr_25,roughness_FBE_yr_25 )</f>
        <v>0.05</v>
      </c>
      <c r="O18" s="224"/>
      <c r="P18" s="224"/>
      <c r="Q18" s="224"/>
      <c r="R18" s="224"/>
      <c r="S18" s="224"/>
      <c r="T18" s="228" t="s">
        <v>254</v>
      </c>
      <c r="U18" s="224"/>
      <c r="V18" s="224"/>
      <c r="W18" s="224"/>
      <c r="X18" s="225"/>
    </row>
    <row r="21" spans="1:31" s="176" customFormat="1" ht="43" customHeight="1">
      <c r="A21" s="218" t="s">
        <v>222</v>
      </c>
      <c r="B21" s="218" t="s">
        <v>224</v>
      </c>
      <c r="C21" s="218" t="s">
        <v>226</v>
      </c>
      <c r="D21" s="218" t="s">
        <v>250</v>
      </c>
      <c r="E21" s="218" t="s">
        <v>258</v>
      </c>
      <c r="F21" s="218" t="s">
        <v>282</v>
      </c>
      <c r="G21" s="218" t="s">
        <v>221</v>
      </c>
      <c r="H21" s="218" t="s">
        <v>277</v>
      </c>
      <c r="I21" s="218" t="s">
        <v>276</v>
      </c>
      <c r="J21" s="286" t="s">
        <v>283</v>
      </c>
      <c r="K21" s="286" t="s">
        <v>284</v>
      </c>
      <c r="L21" s="219" t="s">
        <v>227</v>
      </c>
      <c r="M21" s="219" t="s">
        <v>281</v>
      </c>
      <c r="N21" s="175" t="s">
        <v>259</v>
      </c>
      <c r="O21" s="175" t="s">
        <v>220</v>
      </c>
      <c r="P21" s="175" t="s">
        <v>260</v>
      </c>
      <c r="Q21" s="175" t="s">
        <v>223</v>
      </c>
      <c r="R21" s="175" t="s">
        <v>228</v>
      </c>
      <c r="S21" s="219" t="s">
        <v>225</v>
      </c>
      <c r="T21" s="219" t="s">
        <v>263</v>
      </c>
      <c r="U21" s="175" t="s">
        <v>248</v>
      </c>
      <c r="V21" s="175" t="s">
        <v>255</v>
      </c>
      <c r="W21" s="175" t="s">
        <v>256</v>
      </c>
      <c r="X21" s="175" t="s">
        <v>257</v>
      </c>
      <c r="Y21" s="221"/>
      <c r="Z21" s="221" t="s">
        <v>268</v>
      </c>
      <c r="AA21" s="176" t="s">
        <v>3</v>
      </c>
      <c r="AB21" s="177">
        <f>A22</f>
        <v>1</v>
      </c>
    </row>
    <row r="22" spans="1:31" s="174" customFormat="1">
      <c r="A22" s="178">
        <v>1</v>
      </c>
      <c r="B22" s="179">
        <f t="shared" ref="B22:B46" si="0">Q22*1000</f>
        <v>6.8000000000000005E-2</v>
      </c>
      <c r="C22" s="180">
        <f t="shared" ref="C22:C46" si="1">P22*1000</f>
        <v>682.13999999885266</v>
      </c>
      <c r="D22" s="181">
        <f t="shared" ref="D22:D46" si="2">O22*1000</f>
        <v>14.53</v>
      </c>
      <c r="E22" s="180">
        <f t="shared" ref="E22:E46" si="3">U22/(PI()*(P22/2)^2)</f>
        <v>1.9154072410988681</v>
      </c>
      <c r="F22" s="182">
        <f ca="1">1/(-2*LOG10((Q22/P22)/3.7 + 2.51/(R22*SQRT(F22+1E-300))))^2</f>
        <v>1.3397429076855955E-2</v>
      </c>
      <c r="G22" s="183">
        <f t="shared" ref="G22:G46" ca="1" si="4">(F22 * pipeline_length * E22^2 ) / (2*grav_accel * P22)</f>
        <v>257.16837958887749</v>
      </c>
      <c r="H22" s="184">
        <f t="shared" ref="H22:H46" ca="1" si="5">(T22*grav_accel*U22*(G22)/(pump_efficiency))/1000</f>
        <v>2217.4797181344952</v>
      </c>
      <c r="I22" s="184">
        <f t="shared" ref="I22:I46" si="6">(T22*grav_accel*U22*(Elevation_change_m)/(pump_efficiency))/1000</f>
        <v>8622.6764024390268</v>
      </c>
      <c r="J22" s="291">
        <f t="shared" ref="J22:J46" ca="1" si="7">H22*Projected_kWh*annual_operation_h</f>
        <v>3259695.1856577075</v>
      </c>
      <c r="K22" s="291">
        <f t="shared" ref="K22:K46" si="8">I22*Projected_kWh*annual_operation_h</f>
        <v>12675334.311585369</v>
      </c>
      <c r="L22" s="185">
        <f t="shared" ref="L22:L46" si="9">viscosity_Pa_s</f>
        <v>1.2999999999999999E-3</v>
      </c>
      <c r="M22" s="185">
        <f>pipe_od_in</f>
        <v>28</v>
      </c>
      <c r="N22" s="171">
        <f t="shared" ref="N22:N46" si="10">M22/39.370078740221</f>
        <v>0.71119999999885264</v>
      </c>
      <c r="O22" s="282">
        <f>wall_yr_1/1000</f>
        <v>1.453E-2</v>
      </c>
      <c r="P22" s="284">
        <f t="shared" ref="P22:P46" si="11">N22-2*O22</f>
        <v>0.68213999999885266</v>
      </c>
      <c r="Q22" s="282">
        <f>roughness_bare_yr_1_mm/1000</f>
        <v>6.7999999999999999E-5</v>
      </c>
      <c r="R22" s="274">
        <f t="shared" ref="R22:R46" si="12">T22*E22*P22/L22</f>
        <v>1035210.1325417028</v>
      </c>
      <c r="S22" s="185">
        <f t="shared" ref="S22:S46" si="13">U22*1000</f>
        <v>700</v>
      </c>
      <c r="T22" s="185">
        <f t="shared" ref="T22:T46" si="14">water_density</f>
        <v>1030</v>
      </c>
      <c r="U22" s="171">
        <f t="shared" ref="U22:U46" si="15">design_flow_rate</f>
        <v>0.7</v>
      </c>
      <c r="V22" s="189">
        <f t="shared" ref="V22:V46" ca="1" si="16">1/SQRT(F22)</f>
        <v>8.6395130837844221</v>
      </c>
      <c r="W22" s="189">
        <f t="shared" ref="W22:W46" ca="1" si="17">-2 *LOG10(((Q22) / (3.7 *P22)) + (2.51 / (R22* SQRT(F22))))</f>
        <v>8.6395130837844221</v>
      </c>
      <c r="X22" s="190">
        <f t="shared" ref="X22:X46" ca="1" si="18">W22-V22</f>
        <v>0</v>
      </c>
      <c r="Y22" s="191"/>
      <c r="AC22" s="173"/>
      <c r="AD22" s="173"/>
      <c r="AE22" s="173"/>
    </row>
    <row r="23" spans="1:31">
      <c r="A23" s="178">
        <v>2</v>
      </c>
      <c r="B23" s="179">
        <f t="shared" si="0"/>
        <v>9.5166666666666663E-2</v>
      </c>
      <c r="C23" s="180">
        <f t="shared" si="1"/>
        <v>682.55666666551929</v>
      </c>
      <c r="D23" s="181">
        <f t="shared" si="2"/>
        <v>14.321666666666667</v>
      </c>
      <c r="E23" s="180">
        <f t="shared" si="3"/>
        <v>1.9130694344564432</v>
      </c>
      <c r="F23" s="182">
        <f ca="1">1/(-2*LOG10((Q23/P23)/3.7 + 2.51/(R23*SQRT(F23+1E-300))))^2</f>
        <v>1.3940080152670441E-2</v>
      </c>
      <c r="G23" s="183">
        <f t="shared" ca="1" si="4"/>
        <v>266.76901957471489</v>
      </c>
      <c r="H23" s="184">
        <f t="shared" ca="1" si="5"/>
        <v>2300.2629299886885</v>
      </c>
      <c r="I23" s="184">
        <f t="shared" si="6"/>
        <v>8622.6764024390268</v>
      </c>
      <c r="J23" s="291">
        <f t="shared" ca="1" si="7"/>
        <v>3381386.5070833717</v>
      </c>
      <c r="K23" s="291">
        <f t="shared" si="8"/>
        <v>12675334.311585369</v>
      </c>
      <c r="L23" s="185">
        <f t="shared" si="9"/>
        <v>1.2999999999999999E-3</v>
      </c>
      <c r="M23" s="185">
        <f t="shared" ref="M23:M46" si="19">$M$22</f>
        <v>28</v>
      </c>
      <c r="N23" s="171">
        <f t="shared" si="10"/>
        <v>0.71119999999885264</v>
      </c>
      <c r="O23" s="187">
        <f>O22-(O$22-O$46)/24</f>
        <v>1.4321666666666667E-2</v>
      </c>
      <c r="P23" s="188">
        <f t="shared" si="11"/>
        <v>0.68255666666551928</v>
      </c>
      <c r="Q23" s="187">
        <f t="shared" ref="Q23:Q45" si="20">Q22-(Q$22-Q$46)/24</f>
        <v>9.5166666666666658E-5</v>
      </c>
      <c r="R23" s="274">
        <f t="shared" si="12"/>
        <v>1034578.1885928834</v>
      </c>
      <c r="S23" s="185">
        <f t="shared" si="13"/>
        <v>700</v>
      </c>
      <c r="T23" s="185">
        <f t="shared" si="14"/>
        <v>1030</v>
      </c>
      <c r="U23" s="171">
        <f t="shared" si="15"/>
        <v>0.7</v>
      </c>
      <c r="V23" s="189">
        <f t="shared" ca="1" si="16"/>
        <v>8.4696870668316606</v>
      </c>
      <c r="W23" s="189">
        <f t="shared" ca="1" si="17"/>
        <v>8.4696870668316606</v>
      </c>
      <c r="X23" s="190">
        <f t="shared" ca="1" si="18"/>
        <v>0</v>
      </c>
      <c r="Y23" s="191"/>
      <c r="Z23" s="191"/>
      <c r="AA23" s="174" t="s">
        <v>235</v>
      </c>
      <c r="AB23" s="173">
        <f>T22</f>
        <v>1030</v>
      </c>
      <c r="AC23" s="173" t="s">
        <v>232</v>
      </c>
      <c r="AD23" s="173" t="s">
        <v>162</v>
      </c>
    </row>
    <row r="24" spans="1:31">
      <c r="A24" s="178">
        <v>3</v>
      </c>
      <c r="B24" s="179">
        <f t="shared" si="0"/>
        <v>0.12233333333333332</v>
      </c>
      <c r="C24" s="180">
        <f t="shared" si="1"/>
        <v>682.97333333218603</v>
      </c>
      <c r="D24" s="181">
        <f t="shared" si="2"/>
        <v>14.113333333333333</v>
      </c>
      <c r="E24" s="180">
        <f t="shared" si="3"/>
        <v>1.9107359052384321</v>
      </c>
      <c r="F24" s="182">
        <f ca="1">1/(-2*LOG10((Q24/P24)/3.7 + 2.51/(R24*SQRT(F24+1E-300))))^2</f>
        <v>1.442179528562159E-2</v>
      </c>
      <c r="G24" s="183">
        <f t="shared" ca="1" si="4"/>
        <v>275.14668048016875</v>
      </c>
      <c r="H24" s="184">
        <f t="shared" ca="1" si="5"/>
        <v>2372.5007889857816</v>
      </c>
      <c r="I24" s="184">
        <f t="shared" si="6"/>
        <v>8622.6764024390268</v>
      </c>
      <c r="J24" s="291">
        <f t="shared" ca="1" si="7"/>
        <v>3487576.1598090986</v>
      </c>
      <c r="K24" s="291">
        <f t="shared" si="8"/>
        <v>12675334.311585369</v>
      </c>
      <c r="L24" s="185">
        <f t="shared" si="9"/>
        <v>1.2999999999999999E-3</v>
      </c>
      <c r="M24" s="185">
        <f t="shared" si="19"/>
        <v>28</v>
      </c>
      <c r="N24" s="171">
        <f t="shared" si="10"/>
        <v>0.71119999999885264</v>
      </c>
      <c r="O24" s="187">
        <f t="shared" ref="O24:O45" si="21">O23-($O$22-$O$46)/24</f>
        <v>1.4113333333333334E-2</v>
      </c>
      <c r="P24" s="188">
        <f t="shared" si="11"/>
        <v>0.68297333333218602</v>
      </c>
      <c r="Q24" s="187">
        <f t="shared" si="20"/>
        <v>1.2233333333333332E-4</v>
      </c>
      <c r="R24" s="274">
        <f t="shared" si="12"/>
        <v>1033947.015713638</v>
      </c>
      <c r="S24" s="185">
        <f t="shared" si="13"/>
        <v>700</v>
      </c>
      <c r="T24" s="185">
        <f t="shared" si="14"/>
        <v>1030</v>
      </c>
      <c r="U24" s="171">
        <f t="shared" si="15"/>
        <v>0.7</v>
      </c>
      <c r="V24" s="189">
        <f t="shared" ca="1" si="16"/>
        <v>8.3270339770232269</v>
      </c>
      <c r="W24" s="189">
        <f t="shared" ca="1" si="17"/>
        <v>8.3270339770232269</v>
      </c>
      <c r="X24" s="190">
        <f t="shared" ca="1" si="18"/>
        <v>0</v>
      </c>
      <c r="Y24" s="191"/>
      <c r="Z24" s="191">
        <f>design_flow_rate</f>
        <v>0.7</v>
      </c>
      <c r="AA24" s="174" t="s">
        <v>236</v>
      </c>
      <c r="AB24" s="192">
        <f>U22</f>
        <v>0.7</v>
      </c>
      <c r="AC24" s="173" t="s">
        <v>233</v>
      </c>
      <c r="AD24" s="173" t="s">
        <v>246</v>
      </c>
    </row>
    <row r="25" spans="1:31">
      <c r="A25" s="178">
        <v>4</v>
      </c>
      <c r="B25" s="179">
        <f t="shared" si="0"/>
        <v>0.14949999999999997</v>
      </c>
      <c r="C25" s="180">
        <f t="shared" si="1"/>
        <v>683.38999999885266</v>
      </c>
      <c r="D25" s="181">
        <f t="shared" si="2"/>
        <v>13.905000000000001</v>
      </c>
      <c r="E25" s="180">
        <f t="shared" si="3"/>
        <v>1.9084066430161393</v>
      </c>
      <c r="F25" s="182">
        <f ca="1">1/(-2*LOG10((Q25/P25)/3.7 + 2.51/(R25*SQRT(F25+1E-300))))^2</f>
        <v>1.4857027527341514E-2</v>
      </c>
      <c r="G25" s="183">
        <f t="shared" ca="1" si="4"/>
        <v>282.58721971480861</v>
      </c>
      <c r="H25" s="184">
        <f t="shared" ca="1" si="5"/>
        <v>2436.658151065732</v>
      </c>
      <c r="I25" s="184">
        <f t="shared" si="6"/>
        <v>8622.6764024390268</v>
      </c>
      <c r="J25" s="291">
        <f t="shared" ca="1" si="7"/>
        <v>3581887.4820666257</v>
      </c>
      <c r="K25" s="291">
        <f t="shared" si="8"/>
        <v>12675334.311585369</v>
      </c>
      <c r="L25" s="185">
        <f t="shared" si="9"/>
        <v>1.2999999999999999E-3</v>
      </c>
      <c r="M25" s="185">
        <f t="shared" si="19"/>
        <v>28</v>
      </c>
      <c r="N25" s="171">
        <f t="shared" si="10"/>
        <v>0.71119999999885264</v>
      </c>
      <c r="O25" s="187">
        <f t="shared" si="21"/>
        <v>1.3905000000000001E-2</v>
      </c>
      <c r="P25" s="188">
        <f t="shared" si="11"/>
        <v>0.68338999999885264</v>
      </c>
      <c r="Q25" s="187">
        <f t="shared" si="20"/>
        <v>1.4949999999999997E-4</v>
      </c>
      <c r="R25" s="274">
        <f t="shared" si="12"/>
        <v>1033316.6124935908</v>
      </c>
      <c r="S25" s="185">
        <f t="shared" si="13"/>
        <v>700</v>
      </c>
      <c r="T25" s="185">
        <f t="shared" si="14"/>
        <v>1030</v>
      </c>
      <c r="U25" s="171">
        <f t="shared" si="15"/>
        <v>0.7</v>
      </c>
      <c r="V25" s="189">
        <f t="shared" ca="1" si="16"/>
        <v>8.2041583842147752</v>
      </c>
      <c r="W25" s="189">
        <f t="shared" ca="1" si="17"/>
        <v>8.2041583842147752</v>
      </c>
      <c r="X25" s="190">
        <f t="shared" ca="1" si="18"/>
        <v>0</v>
      </c>
      <c r="Y25" s="191"/>
      <c r="Z25" s="191"/>
      <c r="AA25" s="174" t="s">
        <v>237</v>
      </c>
      <c r="AB25" s="192">
        <f>L22</f>
        <v>1.2999999999999999E-3</v>
      </c>
      <c r="AC25" s="173" t="s">
        <v>234</v>
      </c>
    </row>
    <row r="26" spans="1:31">
      <c r="A26" s="178">
        <v>5</v>
      </c>
      <c r="B26" s="179">
        <f t="shared" si="0"/>
        <v>0.17666666666666664</v>
      </c>
      <c r="C26" s="180">
        <f t="shared" si="1"/>
        <v>683.80666666551929</v>
      </c>
      <c r="D26" s="181">
        <f t="shared" si="2"/>
        <v>13.696666666666667</v>
      </c>
      <c r="E26" s="180">
        <f t="shared" si="3"/>
        <v>1.9060816373926308</v>
      </c>
      <c r="F26" s="182">
        <f t="shared" ref="F26:F46" ca="1" si="22">1/(-2*LOG10((Q26/P26)/3.7 + 2.51/(R26*SQRT(F26+1E-300))))^2</f>
        <v>1.5255488364368051E-2</v>
      </c>
      <c r="G26" s="183">
        <f t="shared" ca="1" si="4"/>
        <v>289.28315691718996</v>
      </c>
      <c r="H26" s="184">
        <f t="shared" ca="1" si="5"/>
        <v>2494.3950507729191</v>
      </c>
      <c r="I26" s="184">
        <f t="shared" si="6"/>
        <v>8622.6764024390268</v>
      </c>
      <c r="J26" s="291">
        <f t="shared" ca="1" si="7"/>
        <v>3666760.724636191</v>
      </c>
      <c r="K26" s="291">
        <f t="shared" si="8"/>
        <v>12675334.311585369</v>
      </c>
      <c r="L26" s="185">
        <f t="shared" si="9"/>
        <v>1.2999999999999999E-3</v>
      </c>
      <c r="M26" s="185">
        <f t="shared" si="19"/>
        <v>28</v>
      </c>
      <c r="N26" s="171">
        <f t="shared" si="10"/>
        <v>0.71119999999885264</v>
      </c>
      <c r="O26" s="187">
        <f t="shared" si="21"/>
        <v>1.3696666666666668E-2</v>
      </c>
      <c r="P26" s="188">
        <f t="shared" si="11"/>
        <v>0.68380666666551926</v>
      </c>
      <c r="Q26" s="187">
        <f t="shared" si="20"/>
        <v>1.7666666666666663E-4</v>
      </c>
      <c r="R26" s="274">
        <f t="shared" si="12"/>
        <v>1032686.9775258031</v>
      </c>
      <c r="S26" s="185">
        <f t="shared" si="13"/>
        <v>700</v>
      </c>
      <c r="T26" s="185">
        <f t="shared" si="14"/>
        <v>1030</v>
      </c>
      <c r="U26" s="171">
        <f t="shared" si="15"/>
        <v>0.7</v>
      </c>
      <c r="V26" s="189">
        <f t="shared" ca="1" si="16"/>
        <v>8.0963065318547418</v>
      </c>
      <c r="W26" s="189">
        <f t="shared" ca="1" si="17"/>
        <v>8.0963065318547418</v>
      </c>
      <c r="X26" s="190">
        <f t="shared" ca="1" si="18"/>
        <v>0</v>
      </c>
      <c r="Y26" s="191"/>
      <c r="Z26" s="191"/>
      <c r="AA26" s="174" t="s">
        <v>238</v>
      </c>
      <c r="AB26" s="192">
        <f>N22</f>
        <v>0.71119999999885264</v>
      </c>
      <c r="AC26" s="173" t="s">
        <v>14</v>
      </c>
    </row>
    <row r="27" spans="1:31">
      <c r="A27" s="178">
        <v>6</v>
      </c>
      <c r="B27" s="179">
        <f t="shared" si="0"/>
        <v>0.20383333333333328</v>
      </c>
      <c r="C27" s="180">
        <f t="shared" si="1"/>
        <v>684.22333333218603</v>
      </c>
      <c r="D27" s="181">
        <f t="shared" si="2"/>
        <v>13.488333333333335</v>
      </c>
      <c r="E27" s="180">
        <f t="shared" si="3"/>
        <v>1.9037608780026194</v>
      </c>
      <c r="F27" s="182">
        <f t="shared" ca="1" si="22"/>
        <v>1.5624037887735542E-2</v>
      </c>
      <c r="G27" s="183">
        <f t="shared" ca="1" si="4"/>
        <v>295.37080566731777</v>
      </c>
      <c r="H27" s="184">
        <f t="shared" ca="1" si="5"/>
        <v>2546.8868759969841</v>
      </c>
      <c r="I27" s="184">
        <f t="shared" si="6"/>
        <v>8622.6764024390268</v>
      </c>
      <c r="J27" s="291">
        <f t="shared" ca="1" si="7"/>
        <v>3743923.7077155663</v>
      </c>
      <c r="K27" s="291">
        <f t="shared" si="8"/>
        <v>12675334.311585369</v>
      </c>
      <c r="L27" s="185">
        <f t="shared" si="9"/>
        <v>1.2999999999999999E-3</v>
      </c>
      <c r="M27" s="185">
        <f t="shared" si="19"/>
        <v>28</v>
      </c>
      <c r="N27" s="171">
        <f t="shared" si="10"/>
        <v>0.71119999999885264</v>
      </c>
      <c r="O27" s="187">
        <f t="shared" si="21"/>
        <v>1.3488333333333335E-2</v>
      </c>
      <c r="P27" s="188">
        <f t="shared" si="11"/>
        <v>0.68422333333218599</v>
      </c>
      <c r="Q27" s="187">
        <f t="shared" si="20"/>
        <v>2.0383333333333329E-4</v>
      </c>
      <c r="R27" s="274">
        <f t="shared" si="12"/>
        <v>1032058.1094067633</v>
      </c>
      <c r="S27" s="185">
        <f t="shared" si="13"/>
        <v>700</v>
      </c>
      <c r="T27" s="185">
        <f t="shared" si="14"/>
        <v>1030</v>
      </c>
      <c r="U27" s="171">
        <f t="shared" si="15"/>
        <v>0.7</v>
      </c>
      <c r="V27" s="189">
        <f t="shared" ca="1" si="16"/>
        <v>8.0002463121147951</v>
      </c>
      <c r="W27" s="189">
        <f t="shared" ca="1" si="17"/>
        <v>8.0002463121147951</v>
      </c>
      <c r="X27" s="190">
        <f t="shared" ca="1" si="18"/>
        <v>0</v>
      </c>
      <c r="Y27" s="191"/>
      <c r="Z27" s="191"/>
      <c r="AA27" s="174" t="s">
        <v>239</v>
      </c>
      <c r="AB27" s="173">
        <f>P22</f>
        <v>0.68213999999885266</v>
      </c>
      <c r="AC27" s="173" t="s">
        <v>14</v>
      </c>
    </row>
    <row r="28" spans="1:31">
      <c r="A28" s="178">
        <v>7</v>
      </c>
      <c r="B28" s="179">
        <f t="shared" si="0"/>
        <v>0.23099999999999996</v>
      </c>
      <c r="C28" s="180">
        <f t="shared" si="1"/>
        <v>684.63999999885266</v>
      </c>
      <c r="D28" s="181">
        <f t="shared" si="2"/>
        <v>13.280000000000001</v>
      </c>
      <c r="E28" s="180">
        <f t="shared" si="3"/>
        <v>1.9014443545123521</v>
      </c>
      <c r="F28" s="182">
        <f t="shared" ca="1" si="22"/>
        <v>1.5967714271218233E-2</v>
      </c>
      <c r="G28" s="183">
        <f t="shared" ca="1" si="4"/>
        <v>300.95051652952191</v>
      </c>
      <c r="H28" s="184">
        <f t="shared" ca="1" si="5"/>
        <v>2594.9989171809443</v>
      </c>
      <c r="I28" s="184">
        <f t="shared" si="6"/>
        <v>8622.6764024390268</v>
      </c>
      <c r="J28" s="291">
        <f t="shared" ca="1" si="7"/>
        <v>3814648.4082559878</v>
      </c>
      <c r="K28" s="291">
        <f t="shared" si="8"/>
        <v>12675334.311585369</v>
      </c>
      <c r="L28" s="185">
        <f t="shared" si="9"/>
        <v>1.2999999999999999E-3</v>
      </c>
      <c r="M28" s="185">
        <f t="shared" si="19"/>
        <v>28</v>
      </c>
      <c r="N28" s="171">
        <f t="shared" si="10"/>
        <v>0.71119999999885264</v>
      </c>
      <c r="O28" s="187">
        <f t="shared" si="21"/>
        <v>1.3280000000000002E-2</v>
      </c>
      <c r="P28" s="188">
        <f t="shared" si="11"/>
        <v>0.68463999999885261</v>
      </c>
      <c r="Q28" s="187">
        <f t="shared" si="20"/>
        <v>2.3099999999999995E-4</v>
      </c>
      <c r="R28" s="274">
        <f t="shared" si="12"/>
        <v>1031430.0067363768</v>
      </c>
      <c r="S28" s="185">
        <f t="shared" si="13"/>
        <v>700</v>
      </c>
      <c r="T28" s="185">
        <f t="shared" si="14"/>
        <v>1030</v>
      </c>
      <c r="U28" s="171">
        <f t="shared" si="15"/>
        <v>0.7</v>
      </c>
      <c r="V28" s="189">
        <f t="shared" ca="1" si="16"/>
        <v>7.9136825262989694</v>
      </c>
      <c r="W28" s="189">
        <f t="shared" ca="1" si="17"/>
        <v>7.9136825262989685</v>
      </c>
      <c r="X28" s="190">
        <f t="shared" ca="1" si="18"/>
        <v>0</v>
      </c>
      <c r="Y28" s="191"/>
      <c r="Z28" s="191"/>
      <c r="AA28" s="174" t="s">
        <v>240</v>
      </c>
      <c r="AB28" s="173">
        <f>O22</f>
        <v>1.453E-2</v>
      </c>
      <c r="AC28" s="173" t="s">
        <v>14</v>
      </c>
    </row>
    <row r="29" spans="1:31">
      <c r="A29" s="178">
        <v>8</v>
      </c>
      <c r="B29" s="179">
        <f t="shared" si="0"/>
        <v>0.25816666666666666</v>
      </c>
      <c r="C29" s="180">
        <f t="shared" si="1"/>
        <v>685.05666666551929</v>
      </c>
      <c r="D29" s="181">
        <f t="shared" si="2"/>
        <v>13.071666666666669</v>
      </c>
      <c r="E29" s="180">
        <f t="shared" si="3"/>
        <v>1.8991320566194889</v>
      </c>
      <c r="F29" s="182">
        <f t="shared" ca="1" si="22"/>
        <v>1.6290334644119674E-2</v>
      </c>
      <c r="G29" s="183">
        <f t="shared" ca="1" si="4"/>
        <v>306.09850377261063</v>
      </c>
      <c r="H29" s="184">
        <f t="shared" ca="1" si="5"/>
        <v>2639.3883453019821</v>
      </c>
      <c r="I29" s="184">
        <f t="shared" si="6"/>
        <v>8622.6764024390268</v>
      </c>
      <c r="J29" s="291">
        <f t="shared" ca="1" si="7"/>
        <v>3879900.8675939133</v>
      </c>
      <c r="K29" s="291">
        <f t="shared" si="8"/>
        <v>12675334.311585369</v>
      </c>
      <c r="L29" s="185">
        <f t="shared" si="9"/>
        <v>1.2999999999999999E-3</v>
      </c>
      <c r="M29" s="185">
        <f t="shared" si="19"/>
        <v>28</v>
      </c>
      <c r="N29" s="171">
        <f t="shared" si="10"/>
        <v>0.71119999999885264</v>
      </c>
      <c r="O29" s="187">
        <f t="shared" si="21"/>
        <v>1.3071666666666669E-2</v>
      </c>
      <c r="P29" s="188">
        <f t="shared" si="11"/>
        <v>0.68505666666551934</v>
      </c>
      <c r="Q29" s="187">
        <f t="shared" si="20"/>
        <v>2.5816666666666664E-4</v>
      </c>
      <c r="R29" s="274">
        <f t="shared" si="12"/>
        <v>1030802.6681179546</v>
      </c>
      <c r="S29" s="185">
        <f t="shared" si="13"/>
        <v>700</v>
      </c>
      <c r="T29" s="185">
        <f t="shared" si="14"/>
        <v>1030</v>
      </c>
      <c r="U29" s="171">
        <f t="shared" si="15"/>
        <v>0.7</v>
      </c>
      <c r="V29" s="189">
        <f t="shared" ca="1" si="16"/>
        <v>7.8349277696485853</v>
      </c>
      <c r="W29" s="189">
        <f t="shared" ca="1" si="17"/>
        <v>7.8349277696485844</v>
      </c>
      <c r="X29" s="190">
        <f t="shared" ca="1" si="18"/>
        <v>0</v>
      </c>
      <c r="Y29" s="191"/>
      <c r="Z29" s="191"/>
      <c r="AA29" s="174" t="s">
        <v>241</v>
      </c>
      <c r="AB29" s="192">
        <f>Q22</f>
        <v>6.7999999999999999E-5</v>
      </c>
      <c r="AC29" s="173" t="s">
        <v>14</v>
      </c>
    </row>
    <row r="30" spans="1:31">
      <c r="A30" s="178">
        <v>9</v>
      </c>
      <c r="B30" s="179">
        <f t="shared" si="0"/>
        <v>0.28533333333333327</v>
      </c>
      <c r="C30" s="180">
        <f t="shared" si="1"/>
        <v>685.47333333218592</v>
      </c>
      <c r="D30" s="181">
        <f t="shared" si="2"/>
        <v>12.863333333333337</v>
      </c>
      <c r="E30" s="180">
        <f t="shared" si="3"/>
        <v>1.8968239740529949</v>
      </c>
      <c r="F30" s="182">
        <f t="shared" ca="1" si="22"/>
        <v>1.6594865623963104E-2</v>
      </c>
      <c r="G30" s="183">
        <f t="shared" ca="1" si="4"/>
        <v>310.87414563143903</v>
      </c>
      <c r="H30" s="184">
        <f t="shared" ca="1" si="5"/>
        <v>2680.5671596646021</v>
      </c>
      <c r="I30" s="184">
        <f t="shared" si="6"/>
        <v>8622.6764024390268</v>
      </c>
      <c r="J30" s="291">
        <f t="shared" ca="1" si="7"/>
        <v>3940433.724706965</v>
      </c>
      <c r="K30" s="291">
        <f t="shared" si="8"/>
        <v>12675334.311585369</v>
      </c>
      <c r="L30" s="185">
        <f t="shared" si="9"/>
        <v>1.2999999999999999E-3</v>
      </c>
      <c r="M30" s="185">
        <f t="shared" si="19"/>
        <v>28</v>
      </c>
      <c r="N30" s="171">
        <f t="shared" si="10"/>
        <v>0.71119999999885264</v>
      </c>
      <c r="O30" s="187">
        <f t="shared" si="21"/>
        <v>1.2863333333333336E-2</v>
      </c>
      <c r="P30" s="188">
        <f t="shared" si="11"/>
        <v>0.68547333333218596</v>
      </c>
      <c r="Q30" s="187">
        <f t="shared" si="20"/>
        <v>2.8533333333333329E-4</v>
      </c>
      <c r="R30" s="274">
        <f t="shared" si="12"/>
        <v>1030176.0921582043</v>
      </c>
      <c r="S30" s="185">
        <f t="shared" si="13"/>
        <v>700</v>
      </c>
      <c r="T30" s="185">
        <f t="shared" si="14"/>
        <v>1030</v>
      </c>
      <c r="U30" s="171">
        <f t="shared" si="15"/>
        <v>0.7</v>
      </c>
      <c r="V30" s="189">
        <f t="shared" ca="1" si="16"/>
        <v>7.7627058514396827</v>
      </c>
      <c r="W30" s="189">
        <f t="shared" ca="1" si="17"/>
        <v>7.7627058514396827</v>
      </c>
      <c r="X30" s="190">
        <f t="shared" ca="1" si="18"/>
        <v>0</v>
      </c>
      <c r="Y30" s="191"/>
      <c r="Z30" s="191"/>
      <c r="AA30" s="174" t="s">
        <v>242</v>
      </c>
      <c r="AB30" s="192">
        <f>E22</f>
        <v>1.9154072410988681</v>
      </c>
      <c r="AC30" s="173" t="s">
        <v>81</v>
      </c>
    </row>
    <row r="31" spans="1:31">
      <c r="A31" s="178">
        <v>10</v>
      </c>
      <c r="B31" s="179">
        <f t="shared" si="0"/>
        <v>0.31249999999999994</v>
      </c>
      <c r="C31" s="180">
        <f t="shared" si="1"/>
        <v>685.88999999885255</v>
      </c>
      <c r="D31" s="181">
        <f t="shared" si="2"/>
        <v>12.655000000000003</v>
      </c>
      <c r="E31" s="180">
        <f t="shared" si="3"/>
        <v>1.8945200965730211</v>
      </c>
      <c r="F31" s="182">
        <f t="shared" ca="1" si="22"/>
        <v>1.6883662268239702E-2</v>
      </c>
      <c r="G31" s="183">
        <f t="shared" ca="1" si="4"/>
        <v>315.3246968789918</v>
      </c>
      <c r="H31" s="184">
        <f t="shared" ca="1" si="5"/>
        <v>2718.9428228847214</v>
      </c>
      <c r="I31" s="184">
        <f t="shared" si="6"/>
        <v>8622.6764024390268</v>
      </c>
      <c r="J31" s="291">
        <f t="shared" ca="1" si="7"/>
        <v>3996845.9496405399</v>
      </c>
      <c r="K31" s="291">
        <f t="shared" si="8"/>
        <v>12675334.311585369</v>
      </c>
      <c r="L31" s="185">
        <f t="shared" si="9"/>
        <v>1.2999999999999999E-3</v>
      </c>
      <c r="M31" s="185">
        <f t="shared" si="19"/>
        <v>28</v>
      </c>
      <c r="N31" s="171">
        <f t="shared" si="10"/>
        <v>0.71119999999885264</v>
      </c>
      <c r="O31" s="187">
        <f t="shared" si="21"/>
        <v>1.2655000000000003E-2</v>
      </c>
      <c r="P31" s="188">
        <f t="shared" si="11"/>
        <v>0.68588999999885258</v>
      </c>
      <c r="Q31" s="187">
        <f t="shared" si="20"/>
        <v>3.1249999999999995E-4</v>
      </c>
      <c r="R31" s="274">
        <f t="shared" si="12"/>
        <v>1029550.2774672189</v>
      </c>
      <c r="S31" s="185">
        <f t="shared" si="13"/>
        <v>700</v>
      </c>
      <c r="T31" s="185">
        <f t="shared" si="14"/>
        <v>1030</v>
      </c>
      <c r="U31" s="171">
        <f t="shared" si="15"/>
        <v>0.7</v>
      </c>
      <c r="V31" s="189">
        <f t="shared" ca="1" si="16"/>
        <v>7.6960285814608733</v>
      </c>
      <c r="W31" s="189">
        <f t="shared" ca="1" si="17"/>
        <v>7.6960285814608742</v>
      </c>
      <c r="X31" s="190">
        <f t="shared" ca="1" si="18"/>
        <v>0</v>
      </c>
      <c r="Y31" s="191"/>
      <c r="Z31" s="191"/>
      <c r="AA31" s="174" t="s">
        <v>229</v>
      </c>
      <c r="AB31" s="193">
        <f>R22</f>
        <v>1035210.1325417028</v>
      </c>
      <c r="AC31" s="173" t="s">
        <v>14</v>
      </c>
    </row>
    <row r="32" spans="1:31">
      <c r="A32" s="178">
        <v>11</v>
      </c>
      <c r="B32" s="179">
        <f t="shared" si="0"/>
        <v>0.33966666666666662</v>
      </c>
      <c r="C32" s="180">
        <f t="shared" si="1"/>
        <v>686.30666666551929</v>
      </c>
      <c r="D32" s="181">
        <f t="shared" si="2"/>
        <v>12.446666666666671</v>
      </c>
      <c r="E32" s="180">
        <f t="shared" si="3"/>
        <v>1.8922204139707932</v>
      </c>
      <c r="F32" s="182">
        <f t="shared" ca="1" si="22"/>
        <v>1.7158628005167931E-2</v>
      </c>
      <c r="G32" s="183">
        <f t="shared" ca="1" si="4"/>
        <v>319.48844616165354</v>
      </c>
      <c r="H32" s="184">
        <f t="shared" ca="1" si="5"/>
        <v>2754.8454855700011</v>
      </c>
      <c r="I32" s="184">
        <f t="shared" si="6"/>
        <v>8622.6764024390268</v>
      </c>
      <c r="J32" s="291">
        <f t="shared" ca="1" si="7"/>
        <v>4049622.8637879011</v>
      </c>
      <c r="K32" s="291">
        <f t="shared" si="8"/>
        <v>12675334.311585369</v>
      </c>
      <c r="L32" s="185">
        <f t="shared" si="9"/>
        <v>1.2999999999999999E-3</v>
      </c>
      <c r="M32" s="185">
        <f t="shared" si="19"/>
        <v>28</v>
      </c>
      <c r="N32" s="171">
        <f t="shared" si="10"/>
        <v>0.71119999999885264</v>
      </c>
      <c r="O32" s="187">
        <f t="shared" si="21"/>
        <v>1.244666666666667E-2</v>
      </c>
      <c r="P32" s="188">
        <f t="shared" si="11"/>
        <v>0.68630666666551932</v>
      </c>
      <c r="Q32" s="187">
        <f t="shared" si="20"/>
        <v>3.3966666666666661E-4</v>
      </c>
      <c r="R32" s="274">
        <f t="shared" si="12"/>
        <v>1028925.2226584664</v>
      </c>
      <c r="S32" s="185">
        <f t="shared" si="13"/>
        <v>700</v>
      </c>
      <c r="T32" s="185">
        <f t="shared" si="14"/>
        <v>1030</v>
      </c>
      <c r="U32" s="171">
        <f t="shared" si="15"/>
        <v>0.7</v>
      </c>
      <c r="V32" s="189">
        <f t="shared" ca="1" si="16"/>
        <v>7.6341153985210974</v>
      </c>
      <c r="W32" s="189">
        <f t="shared" ca="1" si="17"/>
        <v>7.6341153985210974</v>
      </c>
      <c r="X32" s="190">
        <f t="shared" ca="1" si="18"/>
        <v>0</v>
      </c>
      <c r="Y32" s="191"/>
      <c r="Z32" s="191"/>
      <c r="AA32" s="174" t="s">
        <v>230</v>
      </c>
      <c r="AB32" s="173">
        <f ca="1">F22</f>
        <v>1.3397429076855955E-2</v>
      </c>
    </row>
    <row r="33" spans="1:29" ht="13">
      <c r="A33" s="178">
        <v>12</v>
      </c>
      <c r="B33" s="179">
        <f t="shared" si="0"/>
        <v>0.36683333333333329</v>
      </c>
      <c r="C33" s="180">
        <f t="shared" si="1"/>
        <v>686.72333333218592</v>
      </c>
      <c r="D33" s="181">
        <f t="shared" si="2"/>
        <v>12.238333333333337</v>
      </c>
      <c r="E33" s="180">
        <f t="shared" si="3"/>
        <v>1.8899249160684997</v>
      </c>
      <c r="F33" s="182">
        <f t="shared" ca="1" si="22"/>
        <v>1.7421325084401029E-2</v>
      </c>
      <c r="G33" s="183">
        <f t="shared" ca="1" si="4"/>
        <v>323.3968987419301</v>
      </c>
      <c r="H33" s="184">
        <f t="shared" ca="1" si="5"/>
        <v>2788.5468074040036</v>
      </c>
      <c r="I33" s="184">
        <f t="shared" si="6"/>
        <v>8622.6764024390268</v>
      </c>
      <c r="J33" s="291">
        <f t="shared" ca="1" si="7"/>
        <v>4099163.8068838851</v>
      </c>
      <c r="K33" s="291">
        <f t="shared" si="8"/>
        <v>12675334.311585369</v>
      </c>
      <c r="L33" s="185">
        <f t="shared" si="9"/>
        <v>1.2999999999999999E-3</v>
      </c>
      <c r="M33" s="185">
        <f t="shared" si="19"/>
        <v>28</v>
      </c>
      <c r="N33" s="171">
        <f t="shared" si="10"/>
        <v>0.71119999999885264</v>
      </c>
      <c r="O33" s="187">
        <f t="shared" si="21"/>
        <v>1.2238333333333337E-2</v>
      </c>
      <c r="P33" s="188">
        <f t="shared" si="11"/>
        <v>0.68672333333218594</v>
      </c>
      <c r="Q33" s="187">
        <f t="shared" si="20"/>
        <v>3.6683333333333327E-4</v>
      </c>
      <c r="R33" s="274">
        <f t="shared" si="12"/>
        <v>1028300.9263487811</v>
      </c>
      <c r="S33" s="185">
        <f t="shared" si="13"/>
        <v>700</v>
      </c>
      <c r="T33" s="185">
        <f t="shared" si="14"/>
        <v>1030</v>
      </c>
      <c r="U33" s="171">
        <f t="shared" si="15"/>
        <v>0.7</v>
      </c>
      <c r="V33" s="189">
        <f t="shared" ca="1" si="16"/>
        <v>7.5763391542026275</v>
      </c>
      <c r="W33" s="189">
        <f t="shared" ca="1" si="17"/>
        <v>7.5763391542026284</v>
      </c>
      <c r="X33" s="190">
        <f t="shared" ca="1" si="18"/>
        <v>0</v>
      </c>
      <c r="Y33" s="191"/>
      <c r="Z33" s="191"/>
      <c r="AA33" s="194" t="s">
        <v>266</v>
      </c>
      <c r="AB33" s="195">
        <f ca="1">G22</f>
        <v>257.16837958887749</v>
      </c>
      <c r="AC33" s="173" t="s">
        <v>14</v>
      </c>
    </row>
    <row r="34" spans="1:29">
      <c r="A34" s="178">
        <v>13</v>
      </c>
      <c r="B34" s="179">
        <f t="shared" si="0"/>
        <v>0.39399999999999991</v>
      </c>
      <c r="C34" s="180">
        <f t="shared" si="1"/>
        <v>687.13999999885266</v>
      </c>
      <c r="D34" s="181">
        <f t="shared" si="2"/>
        <v>12.030000000000005</v>
      </c>
      <c r="E34" s="180">
        <f t="shared" si="3"/>
        <v>1.887633592719175</v>
      </c>
      <c r="F34" s="182">
        <f t="shared" ca="1" si="22"/>
        <v>1.7673052928476332E-2</v>
      </c>
      <c r="G34" s="183">
        <f t="shared" ca="1" si="4"/>
        <v>327.07632649394549</v>
      </c>
      <c r="H34" s="184">
        <f t="shared" ca="1" si="5"/>
        <v>2820.2733222557858</v>
      </c>
      <c r="I34" s="184">
        <f t="shared" si="6"/>
        <v>8622.6764024390268</v>
      </c>
      <c r="J34" s="291">
        <f t="shared" ca="1" si="7"/>
        <v>4145801.7837160053</v>
      </c>
      <c r="K34" s="291">
        <f t="shared" si="8"/>
        <v>12675334.311585369</v>
      </c>
      <c r="L34" s="185">
        <f t="shared" si="9"/>
        <v>1.2999999999999999E-3</v>
      </c>
      <c r="M34" s="185">
        <f t="shared" si="19"/>
        <v>28</v>
      </c>
      <c r="N34" s="171">
        <f t="shared" si="10"/>
        <v>0.71119999999885264</v>
      </c>
      <c r="O34" s="187">
        <f t="shared" si="21"/>
        <v>1.2030000000000004E-2</v>
      </c>
      <c r="P34" s="188">
        <f t="shared" si="11"/>
        <v>0.68713999999885267</v>
      </c>
      <c r="Q34" s="187">
        <f t="shared" si="20"/>
        <v>3.9399999999999993E-4</v>
      </c>
      <c r="R34" s="274">
        <f t="shared" si="12"/>
        <v>1027677.38715835</v>
      </c>
      <c r="S34" s="185">
        <f t="shared" si="13"/>
        <v>700</v>
      </c>
      <c r="T34" s="185">
        <f t="shared" si="14"/>
        <v>1030</v>
      </c>
      <c r="U34" s="171">
        <f t="shared" si="15"/>
        <v>0.7</v>
      </c>
      <c r="V34" s="189">
        <f t="shared" ca="1" si="16"/>
        <v>7.5221884766201814</v>
      </c>
      <c r="W34" s="189">
        <f t="shared" ca="1" si="17"/>
        <v>7.5221884766201814</v>
      </c>
      <c r="X34" s="190">
        <f t="shared" ca="1" si="18"/>
        <v>0</v>
      </c>
      <c r="Y34" s="191"/>
      <c r="Z34" s="191"/>
      <c r="AA34" s="174" t="s">
        <v>267</v>
      </c>
      <c r="AB34" s="196">
        <f>Elevation_change_m</f>
        <v>1000</v>
      </c>
      <c r="AC34" s="173" t="s">
        <v>14</v>
      </c>
    </row>
    <row r="35" spans="1:29">
      <c r="A35" s="178">
        <v>14</v>
      </c>
      <c r="B35" s="179">
        <f t="shared" si="0"/>
        <v>0.42116666666666658</v>
      </c>
      <c r="C35" s="180">
        <f t="shared" si="1"/>
        <v>687.55666666551929</v>
      </c>
      <c r="D35" s="181">
        <f t="shared" si="2"/>
        <v>11.821666666666671</v>
      </c>
      <c r="E35" s="180">
        <f t="shared" si="3"/>
        <v>1.8853464338065933</v>
      </c>
      <c r="F35" s="182">
        <f t="shared" ca="1" si="22"/>
        <v>1.7914905017555199E-2</v>
      </c>
      <c r="G35" s="183">
        <f t="shared" ca="1" si="4"/>
        <v>330.54889440610157</v>
      </c>
      <c r="H35" s="184">
        <f t="shared" ca="1" si="5"/>
        <v>2850.2161516478009</v>
      </c>
      <c r="I35" s="184">
        <f t="shared" si="6"/>
        <v>8622.6764024390268</v>
      </c>
      <c r="J35" s="291">
        <f t="shared" ca="1" si="7"/>
        <v>4189817.7429222669</v>
      </c>
      <c r="K35" s="291">
        <f t="shared" si="8"/>
        <v>12675334.311585369</v>
      </c>
      <c r="L35" s="185">
        <f t="shared" si="9"/>
        <v>1.2999999999999999E-3</v>
      </c>
      <c r="M35" s="185">
        <f t="shared" si="19"/>
        <v>28</v>
      </c>
      <c r="N35" s="171">
        <f t="shared" si="10"/>
        <v>0.71119999999885264</v>
      </c>
      <c r="O35" s="187">
        <f t="shared" si="21"/>
        <v>1.1821666666666671E-2</v>
      </c>
      <c r="P35" s="188">
        <f t="shared" si="11"/>
        <v>0.68755666666551929</v>
      </c>
      <c r="Q35" s="187">
        <f t="shared" si="20"/>
        <v>4.2116666666666659E-4</v>
      </c>
      <c r="R35" s="274">
        <f t="shared" si="12"/>
        <v>1027054.603710707</v>
      </c>
      <c r="S35" s="185">
        <f t="shared" si="13"/>
        <v>700</v>
      </c>
      <c r="T35" s="185">
        <f t="shared" si="14"/>
        <v>1030</v>
      </c>
      <c r="U35" s="171">
        <f t="shared" si="15"/>
        <v>0.7</v>
      </c>
      <c r="V35" s="189">
        <f t="shared" ca="1" si="16"/>
        <v>7.4712409888021973</v>
      </c>
      <c r="W35" s="189">
        <f t="shared" ca="1" si="17"/>
        <v>7.4712409888021973</v>
      </c>
      <c r="X35" s="190">
        <f t="shared" ca="1" si="18"/>
        <v>0</v>
      </c>
      <c r="Y35" s="191"/>
      <c r="Z35" s="191"/>
      <c r="AA35" s="174" t="s">
        <v>231</v>
      </c>
      <c r="AB35" s="173">
        <f>annual_operation_h</f>
        <v>8400</v>
      </c>
      <c r="AC35" s="173" t="s">
        <v>32</v>
      </c>
    </row>
    <row r="36" spans="1:29">
      <c r="A36" s="178">
        <v>15</v>
      </c>
      <c r="B36" s="179">
        <f t="shared" si="0"/>
        <v>0.44833333333333325</v>
      </c>
      <c r="C36" s="180">
        <f t="shared" si="1"/>
        <v>687.97333333218592</v>
      </c>
      <c r="D36" s="181">
        <f t="shared" si="2"/>
        <v>11.613333333333339</v>
      </c>
      <c r="E36" s="180">
        <f t="shared" si="3"/>
        <v>1.8830634292451509</v>
      </c>
      <c r="F36" s="182">
        <f t="shared" ca="1" si="22"/>
        <v>1.8147811034006655E-2</v>
      </c>
      <c r="G36" s="183">
        <f t="shared" ca="1" si="4"/>
        <v>333.83349605842523</v>
      </c>
      <c r="H36" s="184">
        <f t="shared" ca="1" si="5"/>
        <v>2878.5382088067049</v>
      </c>
      <c r="I36" s="184">
        <f t="shared" si="6"/>
        <v>8622.6764024390268</v>
      </c>
      <c r="J36" s="291">
        <f t="shared" ca="1" si="7"/>
        <v>4231451.1669458561</v>
      </c>
      <c r="K36" s="291">
        <f t="shared" si="8"/>
        <v>12675334.311585369</v>
      </c>
      <c r="L36" s="185">
        <f t="shared" si="9"/>
        <v>1.2999999999999999E-3</v>
      </c>
      <c r="M36" s="185">
        <f t="shared" si="19"/>
        <v>28</v>
      </c>
      <c r="N36" s="171">
        <f t="shared" si="10"/>
        <v>0.71119999999885264</v>
      </c>
      <c r="O36" s="187">
        <f t="shared" si="21"/>
        <v>1.1613333333333338E-2</v>
      </c>
      <c r="P36" s="188">
        <f t="shared" si="11"/>
        <v>0.68797333333218591</v>
      </c>
      <c r="Q36" s="187">
        <f t="shared" si="20"/>
        <v>4.4833333333333324E-4</v>
      </c>
      <c r="R36" s="274">
        <f t="shared" si="12"/>
        <v>1026432.5746327193</v>
      </c>
      <c r="S36" s="185">
        <f t="shared" si="13"/>
        <v>700</v>
      </c>
      <c r="T36" s="185">
        <f t="shared" si="14"/>
        <v>1030</v>
      </c>
      <c r="U36" s="171">
        <f t="shared" si="15"/>
        <v>0.7</v>
      </c>
      <c r="V36" s="189">
        <f t="shared" ca="1" si="16"/>
        <v>7.4231438348628647</v>
      </c>
      <c r="W36" s="189">
        <f t="shared" ca="1" si="17"/>
        <v>7.4231438348628656</v>
      </c>
      <c r="X36" s="190">
        <f t="shared" ca="1" si="18"/>
        <v>0</v>
      </c>
      <c r="Y36" s="191"/>
      <c r="Z36" s="191"/>
      <c r="AA36" s="174" t="s">
        <v>243</v>
      </c>
      <c r="AB36" s="173">
        <f>pump_efficiency</f>
        <v>0.82</v>
      </c>
      <c r="AC36" s="173" t="s">
        <v>71</v>
      </c>
    </row>
    <row r="37" spans="1:29">
      <c r="A37" s="178">
        <v>16</v>
      </c>
      <c r="B37" s="179">
        <f t="shared" si="0"/>
        <v>0.47549999999999992</v>
      </c>
      <c r="C37" s="180">
        <f t="shared" si="1"/>
        <v>688.38999999885266</v>
      </c>
      <c r="D37" s="181">
        <f t="shared" si="2"/>
        <v>11.405000000000005</v>
      </c>
      <c r="E37" s="180">
        <f t="shared" si="3"/>
        <v>1.8807845689797582</v>
      </c>
      <c r="F37" s="182">
        <f t="shared" ca="1" si="22"/>
        <v>1.8372568648670925E-2</v>
      </c>
      <c r="G37" s="183">
        <f t="shared" ca="1" si="4"/>
        <v>336.9463844231467</v>
      </c>
      <c r="H37" s="184">
        <f t="shared" ca="1" si="5"/>
        <v>2905.3796378526154</v>
      </c>
      <c r="I37" s="184">
        <f t="shared" si="6"/>
        <v>8622.6764024390268</v>
      </c>
      <c r="J37" s="291">
        <f t="shared" ca="1" si="7"/>
        <v>4270908.0676433444</v>
      </c>
      <c r="K37" s="291">
        <f t="shared" si="8"/>
        <v>12675334.311585369</v>
      </c>
      <c r="L37" s="185">
        <f t="shared" si="9"/>
        <v>1.2999999999999999E-3</v>
      </c>
      <c r="M37" s="185">
        <f t="shared" si="19"/>
        <v>28</v>
      </c>
      <c r="N37" s="171">
        <f t="shared" si="10"/>
        <v>0.71119999999885264</v>
      </c>
      <c r="O37" s="187">
        <f t="shared" si="21"/>
        <v>1.1405000000000005E-2</v>
      </c>
      <c r="P37" s="188">
        <f t="shared" si="11"/>
        <v>0.68838999999885264</v>
      </c>
      <c r="Q37" s="187">
        <f t="shared" si="20"/>
        <v>4.754999999999999E-4</v>
      </c>
      <c r="R37" s="274">
        <f t="shared" si="12"/>
        <v>1025811.2985545787</v>
      </c>
      <c r="S37" s="185">
        <f t="shared" si="13"/>
        <v>700</v>
      </c>
      <c r="T37" s="185">
        <f t="shared" si="14"/>
        <v>1030</v>
      </c>
      <c r="U37" s="171">
        <f t="shared" si="15"/>
        <v>0.7</v>
      </c>
      <c r="V37" s="189">
        <f t="shared" ca="1" si="16"/>
        <v>7.3775992479908057</v>
      </c>
      <c r="W37" s="189">
        <f t="shared" ca="1" si="17"/>
        <v>7.3775992479908057</v>
      </c>
      <c r="X37" s="190">
        <f t="shared" ca="1" si="18"/>
        <v>0</v>
      </c>
      <c r="Y37" s="191"/>
      <c r="Z37" s="191"/>
      <c r="AA37" s="174" t="s">
        <v>244</v>
      </c>
      <c r="AB37" s="197" t="e">
        <f ca="1">(water_density*grav_accel*design_flow_rate*(bare_hf_yr1_m+Elevation_change_m))/pump_efficiency_n</f>
        <v>#NAME?</v>
      </c>
      <c r="AC37" s="173" t="s">
        <v>269</v>
      </c>
    </row>
    <row r="38" spans="1:29">
      <c r="A38" s="178">
        <v>17</v>
      </c>
      <c r="B38" s="179">
        <f t="shared" si="0"/>
        <v>0.5026666666666666</v>
      </c>
      <c r="C38" s="180">
        <f t="shared" si="1"/>
        <v>688.80666666551929</v>
      </c>
      <c r="D38" s="181">
        <f t="shared" si="2"/>
        <v>11.196666666666673</v>
      </c>
      <c r="E38" s="180">
        <f t="shared" si="3"/>
        <v>1.8785098429857308</v>
      </c>
      <c r="F38" s="182">
        <f t="shared" ca="1" si="22"/>
        <v>1.8589867877622613E-2</v>
      </c>
      <c r="G38" s="183">
        <f t="shared" ca="1" si="4"/>
        <v>339.90165574163245</v>
      </c>
      <c r="H38" s="184">
        <f t="shared" ca="1" si="5"/>
        <v>2930.8619861133275</v>
      </c>
      <c r="I38" s="184">
        <f t="shared" si="6"/>
        <v>8622.6764024390268</v>
      </c>
      <c r="J38" s="291">
        <f t="shared" ca="1" si="7"/>
        <v>4308367.1195865916</v>
      </c>
      <c r="K38" s="291">
        <f t="shared" si="8"/>
        <v>12675334.311585369</v>
      </c>
      <c r="L38" s="185">
        <f t="shared" si="9"/>
        <v>1.2999999999999999E-3</v>
      </c>
      <c r="M38" s="185">
        <f t="shared" si="19"/>
        <v>28</v>
      </c>
      <c r="N38" s="171">
        <f t="shared" si="10"/>
        <v>0.71119999999885264</v>
      </c>
      <c r="O38" s="187">
        <f t="shared" si="21"/>
        <v>1.1196666666666672E-2</v>
      </c>
      <c r="P38" s="188">
        <f t="shared" si="11"/>
        <v>0.68880666666551926</v>
      </c>
      <c r="Q38" s="187">
        <f t="shared" si="20"/>
        <v>5.0266666666666656E-4</v>
      </c>
      <c r="R38" s="274">
        <f t="shared" si="12"/>
        <v>1025190.7741097924</v>
      </c>
      <c r="S38" s="185">
        <f t="shared" si="13"/>
        <v>700</v>
      </c>
      <c r="T38" s="185">
        <f t="shared" si="14"/>
        <v>1030</v>
      </c>
      <c r="U38" s="171">
        <f t="shared" si="15"/>
        <v>0.7</v>
      </c>
      <c r="V38" s="189">
        <f t="shared" ca="1" si="16"/>
        <v>7.3343536728941645</v>
      </c>
      <c r="W38" s="189">
        <f t="shared" ca="1" si="17"/>
        <v>7.3343536728941645</v>
      </c>
      <c r="X38" s="190">
        <f t="shared" ca="1" si="18"/>
        <v>0</v>
      </c>
      <c r="Y38" s="191"/>
      <c r="Z38" s="191"/>
      <c r="AA38" s="174" t="s">
        <v>245</v>
      </c>
      <c r="AB38" s="198">
        <f>Energy_cost_w_h</f>
        <v>1.74E-4</v>
      </c>
      <c r="AC38" s="173" t="s">
        <v>269</v>
      </c>
    </row>
    <row r="39" spans="1:29">
      <c r="A39" s="178">
        <v>18</v>
      </c>
      <c r="B39" s="179">
        <f t="shared" si="0"/>
        <v>0.52983333333333327</v>
      </c>
      <c r="C39" s="180">
        <f t="shared" si="1"/>
        <v>689.22333333218603</v>
      </c>
      <c r="D39" s="181">
        <f t="shared" si="2"/>
        <v>10.98833333333334</v>
      </c>
      <c r="E39" s="180">
        <f t="shared" si="3"/>
        <v>1.8762392412686737</v>
      </c>
      <c r="F39" s="182">
        <f t="shared" ca="1" si="22"/>
        <v>1.8800310012202275E-2</v>
      </c>
      <c r="G39" s="183">
        <f t="shared" ca="1" si="4"/>
        <v>342.7116259960884</v>
      </c>
      <c r="H39" s="184">
        <f t="shared" ca="1" si="5"/>
        <v>2955.0914503179797</v>
      </c>
      <c r="I39" s="184">
        <f t="shared" si="6"/>
        <v>8622.6764024390268</v>
      </c>
      <c r="J39" s="291">
        <f t="shared" ca="1" si="7"/>
        <v>4343984.4319674298</v>
      </c>
      <c r="K39" s="291">
        <f t="shared" si="8"/>
        <v>12675334.311585369</v>
      </c>
      <c r="L39" s="185">
        <f t="shared" si="9"/>
        <v>1.2999999999999999E-3</v>
      </c>
      <c r="M39" s="185">
        <f t="shared" si="19"/>
        <v>28</v>
      </c>
      <c r="N39" s="171">
        <f t="shared" si="10"/>
        <v>0.71119999999885264</v>
      </c>
      <c r="O39" s="187">
        <f t="shared" si="21"/>
        <v>1.098833333333334E-2</v>
      </c>
      <c r="P39" s="188">
        <f t="shared" si="11"/>
        <v>0.68922333333218599</v>
      </c>
      <c r="Q39" s="187">
        <f t="shared" si="20"/>
        <v>5.2983333333333322E-4</v>
      </c>
      <c r="R39" s="274">
        <f t="shared" si="12"/>
        <v>1024570.999935171</v>
      </c>
      <c r="S39" s="185">
        <f t="shared" si="13"/>
        <v>700</v>
      </c>
      <c r="T39" s="185">
        <f t="shared" si="14"/>
        <v>1030</v>
      </c>
      <c r="U39" s="171">
        <f t="shared" si="15"/>
        <v>0.7</v>
      </c>
      <c r="V39" s="189">
        <f t="shared" ca="1" si="16"/>
        <v>7.2931894427564306</v>
      </c>
      <c r="W39" s="189">
        <f t="shared" ca="1" si="17"/>
        <v>7.2931894427564314</v>
      </c>
      <c r="X39" s="190">
        <f t="shared" ca="1" si="18"/>
        <v>0</v>
      </c>
      <c r="Y39" s="191"/>
      <c r="Z39" s="191"/>
      <c r="AA39" s="174" t="s">
        <v>271</v>
      </c>
      <c r="AB39" s="197" t="e">
        <f ca="1">(water_density*grav_accel*design_flow_rate*(bare_hf_yr1_m+Elevation_change_m)*annual_operation_h*(Energy_cost/1000))/pump_efficiency_n</f>
        <v>#NAME?</v>
      </c>
      <c r="AC39" s="173" t="s">
        <v>270</v>
      </c>
    </row>
    <row r="40" spans="1:29">
      <c r="A40" s="178">
        <v>19</v>
      </c>
      <c r="B40" s="179">
        <f t="shared" si="0"/>
        <v>0.55699999999999983</v>
      </c>
      <c r="C40" s="180">
        <f t="shared" si="1"/>
        <v>689.63999999885266</v>
      </c>
      <c r="D40" s="181">
        <f t="shared" si="2"/>
        <v>10.780000000000006</v>
      </c>
      <c r="E40" s="180">
        <f t="shared" si="3"/>
        <v>1.873972753864378</v>
      </c>
      <c r="F40" s="182">
        <f t="shared" ca="1" si="22"/>
        <v>1.9004422519990762E-2</v>
      </c>
      <c r="G40" s="183">
        <f t="shared" ca="1" si="4"/>
        <v>345.38712757306962</v>
      </c>
      <c r="H40" s="184">
        <f t="shared" ca="1" si="5"/>
        <v>2978.161434630505</v>
      </c>
      <c r="I40" s="184">
        <f t="shared" si="6"/>
        <v>8622.6764024390268</v>
      </c>
      <c r="J40" s="291">
        <f t="shared" ca="1" si="7"/>
        <v>4377897.308906842</v>
      </c>
      <c r="K40" s="291">
        <f t="shared" si="8"/>
        <v>12675334.311585369</v>
      </c>
      <c r="L40" s="185">
        <f t="shared" si="9"/>
        <v>1.2999999999999999E-3</v>
      </c>
      <c r="M40" s="185">
        <f t="shared" si="19"/>
        <v>28</v>
      </c>
      <c r="N40" s="171">
        <f t="shared" si="10"/>
        <v>0.71119999999885264</v>
      </c>
      <c r="O40" s="187">
        <f t="shared" si="21"/>
        <v>1.0780000000000007E-2</v>
      </c>
      <c r="P40" s="188">
        <f t="shared" si="11"/>
        <v>0.68963999999885262</v>
      </c>
      <c r="Q40" s="187">
        <f t="shared" si="20"/>
        <v>5.5699999999999988E-4</v>
      </c>
      <c r="R40" s="274">
        <f t="shared" si="12"/>
        <v>1023951.9746708199</v>
      </c>
      <c r="S40" s="185">
        <f t="shared" si="13"/>
        <v>700</v>
      </c>
      <c r="T40" s="185">
        <f t="shared" si="14"/>
        <v>1030</v>
      </c>
      <c r="U40" s="171">
        <f t="shared" si="15"/>
        <v>0.7</v>
      </c>
      <c r="V40" s="189">
        <f t="shared" ca="1" si="16"/>
        <v>7.2539183239366327</v>
      </c>
      <c r="W40" s="189">
        <f t="shared" ca="1" si="17"/>
        <v>7.2539183239366327</v>
      </c>
      <c r="X40" s="190">
        <f t="shared" ca="1" si="18"/>
        <v>0</v>
      </c>
      <c r="Y40" s="191"/>
      <c r="Z40" s="191"/>
    </row>
    <row r="41" spans="1:29">
      <c r="A41" s="178">
        <v>20</v>
      </c>
      <c r="B41" s="179">
        <f t="shared" si="0"/>
        <v>0.5841666666666665</v>
      </c>
      <c r="C41" s="180">
        <f t="shared" si="1"/>
        <v>690.05666666551929</v>
      </c>
      <c r="D41" s="181">
        <f t="shared" si="2"/>
        <v>10.571666666666674</v>
      </c>
      <c r="E41" s="180">
        <f t="shared" si="3"/>
        <v>1.8717103708387068</v>
      </c>
      <c r="F41" s="182">
        <f t="shared" ca="1" si="22"/>
        <v>1.9202670910110391E-2</v>
      </c>
      <c r="G41" s="183">
        <f t="shared" ca="1" si="4"/>
        <v>347.93774574618476</v>
      </c>
      <c r="H41" s="184">
        <f t="shared" ca="1" si="5"/>
        <v>3000.1545897634564</v>
      </c>
      <c r="I41" s="184">
        <f t="shared" si="6"/>
        <v>8622.6764024390268</v>
      </c>
      <c r="J41" s="291">
        <f t="shared" ca="1" si="7"/>
        <v>4410227.2469522804</v>
      </c>
      <c r="K41" s="291">
        <f t="shared" si="8"/>
        <v>12675334.311585369</v>
      </c>
      <c r="L41" s="185">
        <f t="shared" si="9"/>
        <v>1.2999999999999999E-3</v>
      </c>
      <c r="M41" s="185">
        <f t="shared" si="19"/>
        <v>28</v>
      </c>
      <c r="N41" s="171">
        <f t="shared" si="10"/>
        <v>0.71119999999885264</v>
      </c>
      <c r="O41" s="187">
        <f t="shared" si="21"/>
        <v>1.0571666666666674E-2</v>
      </c>
      <c r="P41" s="188">
        <f t="shared" si="11"/>
        <v>0.69005666666551924</v>
      </c>
      <c r="Q41" s="187">
        <f t="shared" si="20"/>
        <v>5.8416666666666654E-4</v>
      </c>
      <c r="R41" s="274">
        <f t="shared" si="12"/>
        <v>1023333.6969601293</v>
      </c>
      <c r="S41" s="185">
        <f t="shared" si="13"/>
        <v>700</v>
      </c>
      <c r="T41" s="185">
        <f t="shared" si="14"/>
        <v>1030</v>
      </c>
      <c r="U41" s="171">
        <f t="shared" si="15"/>
        <v>0.7</v>
      </c>
      <c r="V41" s="189">
        <f t="shared" ca="1" si="16"/>
        <v>7.2163764476164234</v>
      </c>
      <c r="W41" s="189">
        <f t="shared" ca="1" si="17"/>
        <v>7.2163764476164234</v>
      </c>
      <c r="X41" s="190">
        <f t="shared" ca="1" si="18"/>
        <v>0</v>
      </c>
      <c r="Y41" s="191"/>
      <c r="Z41" s="191"/>
    </row>
    <row r="42" spans="1:29">
      <c r="A42" s="178">
        <v>21</v>
      </c>
      <c r="B42" s="179">
        <f t="shared" si="0"/>
        <v>0.61133333333333317</v>
      </c>
      <c r="C42" s="180">
        <f t="shared" si="1"/>
        <v>690.47333333218592</v>
      </c>
      <c r="D42" s="181">
        <f t="shared" si="2"/>
        <v>10.36333333333334</v>
      </c>
      <c r="E42" s="180">
        <f t="shared" si="3"/>
        <v>1.8694520822874869</v>
      </c>
      <c r="F42" s="182">
        <f t="shared" ca="1" si="22"/>
        <v>1.9395468280639396E-2</v>
      </c>
      <c r="G42" s="183">
        <f t="shared" ca="1" si="4"/>
        <v>350.37200916960194</v>
      </c>
      <c r="H42" s="184">
        <f t="shared" ca="1" si="5"/>
        <v>3021.1444555418761</v>
      </c>
      <c r="I42" s="184">
        <f t="shared" si="6"/>
        <v>8622.6764024390268</v>
      </c>
      <c r="J42" s="291">
        <f t="shared" ca="1" si="7"/>
        <v>4441082.3496465571</v>
      </c>
      <c r="K42" s="291">
        <f t="shared" si="8"/>
        <v>12675334.311585369</v>
      </c>
      <c r="L42" s="185">
        <f t="shared" si="9"/>
        <v>1.2999999999999999E-3</v>
      </c>
      <c r="M42" s="185">
        <f t="shared" si="19"/>
        <v>28</v>
      </c>
      <c r="N42" s="171">
        <f t="shared" si="10"/>
        <v>0.71119999999885264</v>
      </c>
      <c r="O42" s="187">
        <f t="shared" si="21"/>
        <v>1.0363333333333341E-2</v>
      </c>
      <c r="P42" s="188">
        <f t="shared" si="11"/>
        <v>0.69047333333218597</v>
      </c>
      <c r="Q42" s="187">
        <f t="shared" si="20"/>
        <v>6.1133333333333319E-4</v>
      </c>
      <c r="R42" s="274">
        <f t="shared" si="12"/>
        <v>1022716.1654497634</v>
      </c>
      <c r="S42" s="185">
        <f t="shared" si="13"/>
        <v>700</v>
      </c>
      <c r="T42" s="185">
        <f t="shared" si="14"/>
        <v>1030</v>
      </c>
      <c r="U42" s="171">
        <f t="shared" si="15"/>
        <v>0.7</v>
      </c>
      <c r="V42" s="189">
        <f t="shared" ca="1" si="16"/>
        <v>7.180420285922585</v>
      </c>
      <c r="W42" s="189">
        <f t="shared" ca="1" si="17"/>
        <v>7.180420285922585</v>
      </c>
      <c r="X42" s="190">
        <f t="shared" ca="1" si="18"/>
        <v>0</v>
      </c>
      <c r="Y42" s="191"/>
      <c r="Z42" s="191"/>
    </row>
    <row r="43" spans="1:29">
      <c r="A43" s="178">
        <v>22</v>
      </c>
      <c r="B43" s="179">
        <f t="shared" si="0"/>
        <v>0.63849999999999985</v>
      </c>
      <c r="C43" s="180">
        <f t="shared" si="1"/>
        <v>690.88999999885255</v>
      </c>
      <c r="D43" s="181">
        <f t="shared" si="2"/>
        <v>10.155000000000008</v>
      </c>
      <c r="E43" s="180">
        <f t="shared" si="3"/>
        <v>1.8671978783364043</v>
      </c>
      <c r="F43" s="182">
        <f t="shared" ca="1" si="22"/>
        <v>1.9583183074615061E-2</v>
      </c>
      <c r="G43" s="183">
        <f t="shared" ca="1" si="4"/>
        <v>352.69754479848666</v>
      </c>
      <c r="H43" s="184">
        <f t="shared" ca="1" si="5"/>
        <v>3041.196796732092</v>
      </c>
      <c r="I43" s="184">
        <f t="shared" si="6"/>
        <v>8622.6764024390268</v>
      </c>
      <c r="J43" s="291">
        <f t="shared" ca="1" si="7"/>
        <v>4470559.2911961749</v>
      </c>
      <c r="K43" s="291">
        <f t="shared" si="8"/>
        <v>12675334.311585369</v>
      </c>
      <c r="L43" s="185">
        <f t="shared" si="9"/>
        <v>1.2999999999999999E-3</v>
      </c>
      <c r="M43" s="185">
        <f t="shared" si="19"/>
        <v>28</v>
      </c>
      <c r="N43" s="171">
        <f t="shared" si="10"/>
        <v>0.71119999999885264</v>
      </c>
      <c r="O43" s="187">
        <f t="shared" si="21"/>
        <v>1.0155000000000008E-2</v>
      </c>
      <c r="P43" s="188">
        <f t="shared" si="11"/>
        <v>0.69088999999885259</v>
      </c>
      <c r="Q43" s="187">
        <f t="shared" si="20"/>
        <v>6.3849999999999985E-4</v>
      </c>
      <c r="R43" s="274">
        <f t="shared" si="12"/>
        <v>1022099.3787896513</v>
      </c>
      <c r="S43" s="185">
        <f t="shared" si="13"/>
        <v>700</v>
      </c>
      <c r="T43" s="185">
        <f t="shared" si="14"/>
        <v>1030</v>
      </c>
      <c r="U43" s="171">
        <f t="shared" si="15"/>
        <v>0.7</v>
      </c>
      <c r="V43" s="189">
        <f t="shared" ca="1" si="16"/>
        <v>7.1459234247267762</v>
      </c>
      <c r="W43" s="189">
        <f t="shared" ca="1" si="17"/>
        <v>7.1459234247267762</v>
      </c>
      <c r="X43" s="190">
        <f t="shared" ca="1" si="18"/>
        <v>0</v>
      </c>
      <c r="Y43" s="191"/>
      <c r="Z43" s="191"/>
    </row>
    <row r="44" spans="1:29">
      <c r="A44" s="178">
        <v>23</v>
      </c>
      <c r="B44" s="179">
        <f t="shared" si="0"/>
        <v>0.66566666666666652</v>
      </c>
      <c r="C44" s="180">
        <f t="shared" si="1"/>
        <v>691.30666666551929</v>
      </c>
      <c r="D44" s="181">
        <f t="shared" si="2"/>
        <v>9.9466666666666743</v>
      </c>
      <c r="E44" s="180">
        <f t="shared" si="3"/>
        <v>1.8649477491408901</v>
      </c>
      <c r="F44" s="182">
        <f t="shared" ca="1" si="22"/>
        <v>1.9766145436089344E-2</v>
      </c>
      <c r="G44" s="183">
        <f t="shared" ca="1" si="4"/>
        <v>354.92120498656806</v>
      </c>
      <c r="H44" s="184">
        <f t="shared" ca="1" si="5"/>
        <v>3060.370698962904</v>
      </c>
      <c r="I44" s="184">
        <f t="shared" si="6"/>
        <v>8622.6764024390268</v>
      </c>
      <c r="J44" s="291">
        <f t="shared" ca="1" si="7"/>
        <v>4498744.9274754683</v>
      </c>
      <c r="K44" s="291">
        <f t="shared" si="8"/>
        <v>12675334.311585369</v>
      </c>
      <c r="L44" s="185">
        <f t="shared" si="9"/>
        <v>1.2999999999999999E-3</v>
      </c>
      <c r="M44" s="185">
        <f t="shared" si="19"/>
        <v>28</v>
      </c>
      <c r="N44" s="171">
        <f t="shared" si="10"/>
        <v>0.71119999999885264</v>
      </c>
      <c r="O44" s="187">
        <f t="shared" si="21"/>
        <v>9.9466666666666748E-3</v>
      </c>
      <c r="P44" s="188">
        <f t="shared" si="11"/>
        <v>0.69130666666551932</v>
      </c>
      <c r="Q44" s="187">
        <f t="shared" si="20"/>
        <v>6.6566666666666651E-4</v>
      </c>
      <c r="R44" s="274">
        <f t="shared" si="12"/>
        <v>1021483.3356329772</v>
      </c>
      <c r="S44" s="185">
        <f t="shared" si="13"/>
        <v>700</v>
      </c>
      <c r="T44" s="185">
        <f t="shared" si="14"/>
        <v>1030</v>
      </c>
      <c r="U44" s="171">
        <f t="shared" si="15"/>
        <v>0.7</v>
      </c>
      <c r="V44" s="189">
        <f t="shared" ca="1" si="16"/>
        <v>7.1127739512450772</v>
      </c>
      <c r="W44" s="189">
        <f t="shared" ca="1" si="17"/>
        <v>7.1127739512450781</v>
      </c>
      <c r="X44" s="190">
        <f t="shared" ca="1" si="18"/>
        <v>0</v>
      </c>
      <c r="Y44" s="191"/>
      <c r="Z44" s="191"/>
    </row>
    <row r="45" spans="1:29">
      <c r="A45" s="178">
        <v>24</v>
      </c>
      <c r="B45" s="179">
        <f t="shared" si="0"/>
        <v>0.69283333333333319</v>
      </c>
      <c r="C45" s="180">
        <f t="shared" si="1"/>
        <v>691.72333333218592</v>
      </c>
      <c r="D45" s="181">
        <f t="shared" si="2"/>
        <v>9.7383333333333422</v>
      </c>
      <c r="E45" s="180">
        <f t="shared" si="3"/>
        <v>1.8627016848860201</v>
      </c>
      <c r="F45" s="182">
        <f t="shared" ca="1" si="22"/>
        <v>1.9944652460974023E-2</v>
      </c>
      <c r="G45" s="183">
        <f t="shared" ca="1" si="4"/>
        <v>357.04917260001258</v>
      </c>
      <c r="H45" s="184">
        <f t="shared" ca="1" si="5"/>
        <v>3078.7194750885074</v>
      </c>
      <c r="I45" s="184">
        <f t="shared" si="6"/>
        <v>8622.6764024390268</v>
      </c>
      <c r="J45" s="291">
        <f t="shared" ca="1" si="7"/>
        <v>4525717.6283801049</v>
      </c>
      <c r="K45" s="291">
        <f t="shared" si="8"/>
        <v>12675334.311585369</v>
      </c>
      <c r="L45" s="185">
        <f t="shared" si="9"/>
        <v>1.2999999999999999E-3</v>
      </c>
      <c r="M45" s="185">
        <f t="shared" si="19"/>
        <v>28</v>
      </c>
      <c r="N45" s="171">
        <f t="shared" si="10"/>
        <v>0.71119999999885264</v>
      </c>
      <c r="O45" s="187">
        <f t="shared" si="21"/>
        <v>9.7383333333333419E-3</v>
      </c>
      <c r="P45" s="188">
        <f t="shared" si="11"/>
        <v>0.69172333333218594</v>
      </c>
      <c r="Q45" s="187">
        <f t="shared" si="20"/>
        <v>6.9283333333333317E-4</v>
      </c>
      <c r="R45" s="274">
        <f t="shared" si="12"/>
        <v>1020868.0346361707</v>
      </c>
      <c r="S45" s="185">
        <f t="shared" si="13"/>
        <v>700</v>
      </c>
      <c r="T45" s="185">
        <f t="shared" si="14"/>
        <v>1030</v>
      </c>
      <c r="U45" s="171">
        <f t="shared" si="15"/>
        <v>0.7</v>
      </c>
      <c r="V45" s="189">
        <f t="shared" ca="1" si="16"/>
        <v>7.0808723211865434</v>
      </c>
      <c r="W45" s="189">
        <f t="shared" ca="1" si="17"/>
        <v>7.0808723211865425</v>
      </c>
      <c r="X45" s="190">
        <f t="shared" ca="1" si="18"/>
        <v>0</v>
      </c>
      <c r="Y45" s="191"/>
      <c r="Z45" s="191"/>
    </row>
    <row r="46" spans="1:29" s="213" customFormat="1">
      <c r="A46" s="199">
        <v>25</v>
      </c>
      <c r="B46" s="200">
        <f t="shared" si="0"/>
        <v>0.72</v>
      </c>
      <c r="C46" s="201">
        <f t="shared" si="1"/>
        <v>692.13999999885266</v>
      </c>
      <c r="D46" s="202">
        <f t="shared" si="2"/>
        <v>9.5299999999999994</v>
      </c>
      <c r="E46" s="201">
        <f t="shared" si="3"/>
        <v>1.8604596757864</v>
      </c>
      <c r="F46" s="203">
        <f t="shared" ca="1" si="22"/>
        <v>2.0118972567150301E-2</v>
      </c>
      <c r="G46" s="204">
        <f t="shared" ca="1" si="4"/>
        <v>359.08704859779846</v>
      </c>
      <c r="H46" s="184">
        <f t="shared" ca="1" si="5"/>
        <v>3096.2914203657119</v>
      </c>
      <c r="I46" s="184">
        <f t="shared" si="6"/>
        <v>8622.6764024390268</v>
      </c>
      <c r="J46" s="292">
        <f t="shared" ca="1" si="7"/>
        <v>4551548.3879375961</v>
      </c>
      <c r="K46" s="292">
        <f t="shared" si="8"/>
        <v>12675334.311585369</v>
      </c>
      <c r="L46" s="205">
        <f t="shared" si="9"/>
        <v>1.2999999999999999E-3</v>
      </c>
      <c r="M46" s="205">
        <f t="shared" si="19"/>
        <v>28</v>
      </c>
      <c r="N46" s="206">
        <f t="shared" si="10"/>
        <v>0.71119999999885264</v>
      </c>
      <c r="O46" s="283">
        <f>wall_yr_25/1000</f>
        <v>9.5299999999999985E-3</v>
      </c>
      <c r="P46" s="285">
        <f t="shared" si="11"/>
        <v>0.69213999999885267</v>
      </c>
      <c r="Q46" s="283">
        <f>roughness_bare_yr_25_mm/1000</f>
        <v>7.1999999999999994E-4</v>
      </c>
      <c r="R46" s="275">
        <f t="shared" si="12"/>
        <v>1020253.4744588957</v>
      </c>
      <c r="S46" s="205">
        <f t="shared" si="13"/>
        <v>700</v>
      </c>
      <c r="T46" s="205">
        <f t="shared" si="14"/>
        <v>1030</v>
      </c>
      <c r="U46" s="206">
        <f t="shared" si="15"/>
        <v>0.7</v>
      </c>
      <c r="V46" s="210">
        <f t="shared" ca="1" si="16"/>
        <v>7.0501296036575383</v>
      </c>
      <c r="W46" s="210">
        <f t="shared" ca="1" si="17"/>
        <v>7.0501296036575383</v>
      </c>
      <c r="X46" s="211">
        <f t="shared" ca="1" si="18"/>
        <v>0</v>
      </c>
      <c r="Y46" s="212"/>
      <c r="Z46" s="212"/>
    </row>
    <row r="47" spans="1:29">
      <c r="A47" s="178"/>
      <c r="B47" s="179"/>
      <c r="C47" s="180"/>
      <c r="D47" s="181"/>
      <c r="E47" s="180"/>
      <c r="F47" s="182"/>
      <c r="G47" s="183"/>
      <c r="H47" s="184"/>
      <c r="I47" s="184"/>
      <c r="J47" s="293">
        <f ca="1">NPV(discount_rate/100,J22:J46)</f>
        <v>34702858.773614489</v>
      </c>
      <c r="K47" s="293">
        <f>NPV(discount_rate/100,K22:K46)</f>
        <v>115054516.79069601</v>
      </c>
      <c r="L47" s="185"/>
      <c r="M47" s="185"/>
      <c r="O47" s="187"/>
      <c r="P47" s="188"/>
      <c r="Q47" s="187"/>
      <c r="R47" s="186"/>
      <c r="S47" s="185"/>
      <c r="T47" s="185"/>
      <c r="V47" s="189"/>
      <c r="W47" s="189"/>
      <c r="X47" s="190"/>
      <c r="Y47" s="191"/>
      <c r="Z47" s="191"/>
    </row>
    <row r="48" spans="1:29">
      <c r="A48" s="173"/>
      <c r="B48" s="173"/>
      <c r="C48" s="173"/>
      <c r="D48" s="173"/>
      <c r="E48" s="173"/>
      <c r="F48" s="173"/>
      <c r="G48" s="173"/>
      <c r="H48" s="173"/>
      <c r="I48" s="173"/>
      <c r="J48" s="294"/>
      <c r="K48" s="294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</row>
    <row r="49" spans="1:24" s="220" customFormat="1" ht="42" customHeight="1">
      <c r="A49" s="218" t="s">
        <v>222</v>
      </c>
      <c r="B49" s="218" t="s">
        <v>224</v>
      </c>
      <c r="C49" s="218" t="s">
        <v>226</v>
      </c>
      <c r="D49" s="218" t="s">
        <v>250</v>
      </c>
      <c r="E49" s="218" t="s">
        <v>258</v>
      </c>
      <c r="F49" s="218" t="s">
        <v>249</v>
      </c>
      <c r="G49" s="218" t="s">
        <v>221</v>
      </c>
      <c r="H49" s="218" t="s">
        <v>277</v>
      </c>
      <c r="I49" s="218" t="s">
        <v>276</v>
      </c>
      <c r="J49" s="295" t="s">
        <v>283</v>
      </c>
      <c r="K49" s="295" t="s">
        <v>284</v>
      </c>
      <c r="L49" s="219" t="s">
        <v>227</v>
      </c>
      <c r="M49" s="219" t="s">
        <v>262</v>
      </c>
      <c r="N49" s="219" t="s">
        <v>259</v>
      </c>
      <c r="O49" s="219" t="s">
        <v>220</v>
      </c>
      <c r="P49" s="219" t="s">
        <v>260</v>
      </c>
      <c r="Q49" s="219" t="s">
        <v>223</v>
      </c>
      <c r="R49" s="219" t="s">
        <v>228</v>
      </c>
      <c r="S49" s="219" t="s">
        <v>225</v>
      </c>
      <c r="T49" s="219" t="s">
        <v>263</v>
      </c>
      <c r="U49" s="219" t="s">
        <v>248</v>
      </c>
      <c r="V49" s="219" t="s">
        <v>255</v>
      </c>
      <c r="W49" s="219" t="s">
        <v>256</v>
      </c>
      <c r="X49" s="219" t="s">
        <v>257</v>
      </c>
    </row>
    <row r="50" spans="1:24">
      <c r="A50" s="178">
        <v>1</v>
      </c>
      <c r="B50" s="214">
        <f t="shared" ref="B50:B74" si="23">Q50*1000</f>
        <v>0.01</v>
      </c>
      <c r="C50" s="180">
        <f t="shared" ref="C50:C74" si="24">P50*1000</f>
        <v>692.13999999885266</v>
      </c>
      <c r="D50" s="181">
        <f t="shared" ref="D50:D74" si="25">O50*1000</f>
        <v>9.5299999999999994</v>
      </c>
      <c r="E50" s="180">
        <f t="shared" ref="E50:E74" si="26">U50/(PI()*(P50/2)^2)</f>
        <v>1.8604596757864</v>
      </c>
      <c r="F50" s="182">
        <f t="shared" ref="F50:F74" ca="1" si="27">1/(-2*LOG10((Q50/P50)/3.7 + 2.51/(R50*SQRT(F50+1E-300))))^2</f>
        <v>1.1929055126535451E-2</v>
      </c>
      <c r="G50" s="183">
        <f t="shared" ref="G50:G74" ca="1" si="28">(F50 * pipeline_length * E50^2 ) / (2*grav_accel * P50)</f>
        <v>212.91192597688337</v>
      </c>
      <c r="H50" s="184">
        <f t="shared" ref="H50:H74" ca="1" si="29">(T50*grav_accel*U50*(G50)/(pump_efficiency))/1000</f>
        <v>1835.8706399187167</v>
      </c>
      <c r="I50" s="184">
        <f t="shared" ref="I50:I74" si="30">(T50*grav_accel*U50*(Elevation_change_m)/(pump_efficiency))/1000</f>
        <v>8622.6764024390268</v>
      </c>
      <c r="J50" s="291">
        <f t="shared" ref="J50:J74" ca="1" si="31">H50*Projected_kWh*annual_operation_h</f>
        <v>2698729.8406805135</v>
      </c>
      <c r="K50" s="291">
        <f t="shared" ref="K50:K74" si="32">I50*Projected_kWh*annual_operation_h</f>
        <v>12675334.311585369</v>
      </c>
      <c r="L50" s="185">
        <f t="shared" ref="L50:L74" si="33">viscosity_Pa_s</f>
        <v>1.2999999999999999E-3</v>
      </c>
      <c r="M50" s="185">
        <f>pipe_od_in</f>
        <v>28</v>
      </c>
      <c r="N50" s="171">
        <f t="shared" ref="N50:N74" si="34">M50/39.370078740221</f>
        <v>0.71119999999885264</v>
      </c>
      <c r="O50" s="187">
        <f>wall_yr_1_1/1000</f>
        <v>9.5299999999999985E-3</v>
      </c>
      <c r="P50" s="188">
        <f t="shared" ref="P50:P74" si="35">N50-2*O50</f>
        <v>0.69213999999885267</v>
      </c>
      <c r="Q50" s="287">
        <f>k_yr_1_2/1000</f>
        <v>1.0000000000000001E-5</v>
      </c>
      <c r="R50" s="186">
        <f t="shared" ref="R50:R74" si="36">T50*E50*P50/L50</f>
        <v>1020253.4744588957</v>
      </c>
      <c r="S50" s="185">
        <f t="shared" ref="S50:S74" si="37">U50*1000</f>
        <v>700</v>
      </c>
      <c r="T50" s="185">
        <f t="shared" ref="T50:T74" si="38">water_density</f>
        <v>1030</v>
      </c>
      <c r="U50" s="171">
        <f t="shared" ref="U50:U74" si="39">design_flow_rate</f>
        <v>0.7</v>
      </c>
      <c r="V50" s="189">
        <f t="shared" ref="V50:V74" ca="1" si="40">1/SQRT(F50)</f>
        <v>9.1558143332741686</v>
      </c>
      <c r="W50" s="189">
        <f t="shared" ref="W50:W74" ca="1" si="41">-2 *LOG10(((Q50) / (3.7 *P50)) + (2.51 / (R50* SQRT(F50))))</f>
        <v>9.1558143332741686</v>
      </c>
      <c r="X50" s="190">
        <f t="shared" ref="X50:X74" ca="1" si="42">W50-V50</f>
        <v>0</v>
      </c>
    </row>
    <row r="51" spans="1:24">
      <c r="A51" s="178">
        <v>2</v>
      </c>
      <c r="B51" s="214">
        <f t="shared" si="23"/>
        <v>1.1666666666666667E-2</v>
      </c>
      <c r="C51" s="180">
        <f t="shared" si="24"/>
        <v>692.13999999885266</v>
      </c>
      <c r="D51" s="181">
        <f t="shared" si="25"/>
        <v>9.5299999999999994</v>
      </c>
      <c r="E51" s="180">
        <f t="shared" si="26"/>
        <v>1.8604596757864</v>
      </c>
      <c r="F51" s="182">
        <f t="shared" ca="1" si="27"/>
        <v>1.1980247216982692E-2</v>
      </c>
      <c r="G51" s="183">
        <f t="shared" ca="1" si="28"/>
        <v>213.82561163398626</v>
      </c>
      <c r="H51" s="184">
        <f t="shared" ca="1" si="29"/>
        <v>1843.7490556734647</v>
      </c>
      <c r="I51" s="184">
        <f t="shared" si="30"/>
        <v>8622.6764024390268</v>
      </c>
      <c r="J51" s="291">
        <f t="shared" ca="1" si="31"/>
        <v>2710311.1118399929</v>
      </c>
      <c r="K51" s="291">
        <f t="shared" si="32"/>
        <v>12675334.311585369</v>
      </c>
      <c r="L51" s="185">
        <f t="shared" si="33"/>
        <v>1.2999999999999999E-3</v>
      </c>
      <c r="M51" s="185">
        <f t="shared" ref="M51:M74" si="43">$M$22</f>
        <v>28</v>
      </c>
      <c r="N51" s="171">
        <f t="shared" si="34"/>
        <v>0.71119999999885264</v>
      </c>
      <c r="O51" s="187">
        <f t="shared" ref="O51:O73" si="44">O50-(O$50-O$74)/24</f>
        <v>9.5299999999999985E-3</v>
      </c>
      <c r="P51" s="188">
        <f t="shared" si="35"/>
        <v>0.69213999999885267</v>
      </c>
      <c r="Q51" s="215">
        <f t="shared" ref="Q51:Q73" si="45">Q50-(Q$50-Q$74)/24</f>
        <v>1.1666666666666668E-5</v>
      </c>
      <c r="R51" s="186">
        <f t="shared" si="36"/>
        <v>1020253.4744588957</v>
      </c>
      <c r="S51" s="185">
        <f t="shared" si="37"/>
        <v>700</v>
      </c>
      <c r="T51" s="185">
        <f t="shared" si="38"/>
        <v>1030</v>
      </c>
      <c r="U51" s="171">
        <f t="shared" si="39"/>
        <v>0.7</v>
      </c>
      <c r="V51" s="189">
        <f t="shared" ca="1" si="40"/>
        <v>9.1362318055169425</v>
      </c>
      <c r="W51" s="189">
        <f t="shared" ca="1" si="41"/>
        <v>9.1362318055169425</v>
      </c>
      <c r="X51" s="190">
        <f t="shared" ca="1" si="42"/>
        <v>0</v>
      </c>
    </row>
    <row r="52" spans="1:24">
      <c r="A52" s="178">
        <v>3</v>
      </c>
      <c r="B52" s="214">
        <f t="shared" si="23"/>
        <v>1.3333333333333334E-2</v>
      </c>
      <c r="C52" s="180">
        <f t="shared" si="24"/>
        <v>692.13999999885266</v>
      </c>
      <c r="D52" s="181">
        <f t="shared" si="25"/>
        <v>9.5299999999999994</v>
      </c>
      <c r="E52" s="180">
        <f t="shared" si="26"/>
        <v>1.8604596757864</v>
      </c>
      <c r="F52" s="182">
        <f t="shared" ca="1" si="27"/>
        <v>1.2030711732859438E-2</v>
      </c>
      <c r="G52" s="183">
        <f t="shared" ca="1" si="28"/>
        <v>214.72631140901774</v>
      </c>
      <c r="H52" s="184">
        <f t="shared" ca="1" si="29"/>
        <v>1851.5154983693108</v>
      </c>
      <c r="I52" s="184">
        <f t="shared" si="30"/>
        <v>8622.6764024390268</v>
      </c>
      <c r="J52" s="291">
        <f t="shared" ca="1" si="31"/>
        <v>2721727.7826028867</v>
      </c>
      <c r="K52" s="291">
        <f t="shared" si="32"/>
        <v>12675334.311585369</v>
      </c>
      <c r="L52" s="185">
        <f t="shared" si="33"/>
        <v>1.2999999999999999E-3</v>
      </c>
      <c r="M52" s="185">
        <f t="shared" si="43"/>
        <v>28</v>
      </c>
      <c r="N52" s="171">
        <f t="shared" si="34"/>
        <v>0.71119999999885264</v>
      </c>
      <c r="O52" s="187">
        <f t="shared" si="44"/>
        <v>9.5299999999999985E-3</v>
      </c>
      <c r="P52" s="188">
        <f t="shared" si="35"/>
        <v>0.69213999999885267</v>
      </c>
      <c r="Q52" s="215">
        <f t="shared" si="45"/>
        <v>1.3333333333333335E-5</v>
      </c>
      <c r="R52" s="186">
        <f t="shared" si="36"/>
        <v>1020253.4744588957</v>
      </c>
      <c r="S52" s="185">
        <f t="shared" si="37"/>
        <v>700</v>
      </c>
      <c r="T52" s="185">
        <f t="shared" si="38"/>
        <v>1030</v>
      </c>
      <c r="U52" s="171">
        <f t="shared" si="39"/>
        <v>0.7</v>
      </c>
      <c r="V52" s="189">
        <f t="shared" ca="1" si="40"/>
        <v>9.1170500633001748</v>
      </c>
      <c r="W52" s="189">
        <f t="shared" ca="1" si="41"/>
        <v>9.1170500633001748</v>
      </c>
      <c r="X52" s="190">
        <f t="shared" ca="1" si="42"/>
        <v>0</v>
      </c>
    </row>
    <row r="53" spans="1:24">
      <c r="A53" s="178">
        <v>4</v>
      </c>
      <c r="B53" s="214">
        <f t="shared" si="23"/>
        <v>1.5000000000000003E-2</v>
      </c>
      <c r="C53" s="180">
        <f t="shared" si="24"/>
        <v>692.13999999885266</v>
      </c>
      <c r="D53" s="181">
        <f t="shared" si="25"/>
        <v>9.5299999999999994</v>
      </c>
      <c r="E53" s="180">
        <f t="shared" si="26"/>
        <v>1.8604596757864</v>
      </c>
      <c r="F53" s="182">
        <f t="shared" ca="1" si="27"/>
        <v>1.2080472493306599E-2</v>
      </c>
      <c r="G53" s="183">
        <f t="shared" ca="1" si="28"/>
        <v>215.61445043029804</v>
      </c>
      <c r="H53" s="184">
        <f t="shared" ca="1" si="29"/>
        <v>1859.1736337501898</v>
      </c>
      <c r="I53" s="184">
        <f t="shared" si="30"/>
        <v>8622.6764024390268</v>
      </c>
      <c r="J53" s="291">
        <f t="shared" ca="1" si="31"/>
        <v>2732985.2416127785</v>
      </c>
      <c r="K53" s="291">
        <f t="shared" si="32"/>
        <v>12675334.311585369</v>
      </c>
      <c r="L53" s="185">
        <f t="shared" si="33"/>
        <v>1.2999999999999999E-3</v>
      </c>
      <c r="M53" s="185">
        <f t="shared" si="43"/>
        <v>28</v>
      </c>
      <c r="N53" s="171">
        <f t="shared" si="34"/>
        <v>0.71119999999885264</v>
      </c>
      <c r="O53" s="187">
        <f t="shared" si="44"/>
        <v>9.5299999999999985E-3</v>
      </c>
      <c r="P53" s="188">
        <f t="shared" si="35"/>
        <v>0.69213999999885267</v>
      </c>
      <c r="Q53" s="215">
        <f t="shared" si="45"/>
        <v>1.5000000000000002E-5</v>
      </c>
      <c r="R53" s="186">
        <f t="shared" si="36"/>
        <v>1020253.4744588957</v>
      </c>
      <c r="S53" s="185">
        <f t="shared" si="37"/>
        <v>700</v>
      </c>
      <c r="T53" s="185">
        <f t="shared" si="38"/>
        <v>1030</v>
      </c>
      <c r="U53" s="171">
        <f t="shared" si="39"/>
        <v>0.7</v>
      </c>
      <c r="V53" s="189">
        <f t="shared" ca="1" si="40"/>
        <v>9.0982536342150979</v>
      </c>
      <c r="W53" s="189">
        <f t="shared" ca="1" si="41"/>
        <v>9.0982536342150979</v>
      </c>
      <c r="X53" s="190">
        <f t="shared" ca="1" si="42"/>
        <v>0</v>
      </c>
    </row>
    <row r="54" spans="1:24">
      <c r="A54" s="178">
        <v>5</v>
      </c>
      <c r="B54" s="214">
        <f t="shared" si="23"/>
        <v>1.6666666666666666E-2</v>
      </c>
      <c r="C54" s="180">
        <f t="shared" si="24"/>
        <v>692.13999999885266</v>
      </c>
      <c r="D54" s="181">
        <f t="shared" si="25"/>
        <v>9.5299999999999994</v>
      </c>
      <c r="E54" s="180">
        <f t="shared" si="26"/>
        <v>1.8604596757864</v>
      </c>
      <c r="F54" s="182">
        <f t="shared" ca="1" si="27"/>
        <v>1.2129552148910731E-2</v>
      </c>
      <c r="G54" s="183">
        <f t="shared" ca="1" si="28"/>
        <v>216.49043296957836</v>
      </c>
      <c r="H54" s="184">
        <f t="shared" ca="1" si="29"/>
        <v>1866.7269477205909</v>
      </c>
      <c r="I54" s="184">
        <f t="shared" si="30"/>
        <v>8622.6764024390268</v>
      </c>
      <c r="J54" s="291">
        <f t="shared" ca="1" si="31"/>
        <v>2744088.6131492681</v>
      </c>
      <c r="K54" s="291">
        <f t="shared" si="32"/>
        <v>12675334.311585369</v>
      </c>
      <c r="L54" s="185">
        <f t="shared" si="33"/>
        <v>1.2999999999999999E-3</v>
      </c>
      <c r="M54" s="185">
        <f t="shared" si="43"/>
        <v>28</v>
      </c>
      <c r="N54" s="171">
        <f t="shared" si="34"/>
        <v>0.71119999999885264</v>
      </c>
      <c r="O54" s="187">
        <f t="shared" si="44"/>
        <v>9.5299999999999985E-3</v>
      </c>
      <c r="P54" s="188">
        <f t="shared" si="35"/>
        <v>0.69213999999885267</v>
      </c>
      <c r="Q54" s="215">
        <f t="shared" si="45"/>
        <v>1.6666666666666667E-5</v>
      </c>
      <c r="R54" s="186">
        <f t="shared" si="36"/>
        <v>1020253.4744588957</v>
      </c>
      <c r="S54" s="185">
        <f t="shared" si="37"/>
        <v>700</v>
      </c>
      <c r="T54" s="185">
        <f t="shared" si="38"/>
        <v>1030</v>
      </c>
      <c r="U54" s="171">
        <f t="shared" si="39"/>
        <v>0.7</v>
      </c>
      <c r="V54" s="189">
        <f t="shared" ca="1" si="40"/>
        <v>9.0798279012565715</v>
      </c>
      <c r="W54" s="189">
        <f t="shared" ca="1" si="41"/>
        <v>9.0798279012565715</v>
      </c>
      <c r="X54" s="190">
        <f t="shared" ca="1" si="42"/>
        <v>0</v>
      </c>
    </row>
    <row r="55" spans="1:24">
      <c r="A55" s="178">
        <v>6</v>
      </c>
      <c r="B55" s="214">
        <f t="shared" si="23"/>
        <v>1.8333333333333333E-2</v>
      </c>
      <c r="C55" s="180">
        <f t="shared" si="24"/>
        <v>692.13999999885266</v>
      </c>
      <c r="D55" s="181">
        <f t="shared" si="25"/>
        <v>9.5299999999999994</v>
      </c>
      <c r="E55" s="180">
        <f t="shared" si="26"/>
        <v>1.8604596757864</v>
      </c>
      <c r="F55" s="182">
        <f t="shared" ca="1" si="27"/>
        <v>1.2177972256430565E-2</v>
      </c>
      <c r="G55" s="183">
        <f t="shared" ca="1" si="28"/>
        <v>217.35464377577401</v>
      </c>
      <c r="H55" s="184">
        <f t="shared" ca="1" si="29"/>
        <v>1874.1787578459071</v>
      </c>
      <c r="I55" s="184">
        <f t="shared" si="30"/>
        <v>8622.6764024390268</v>
      </c>
      <c r="J55" s="291">
        <f t="shared" ca="1" si="31"/>
        <v>2755042.7740334836</v>
      </c>
      <c r="K55" s="291">
        <f t="shared" si="32"/>
        <v>12675334.311585369</v>
      </c>
      <c r="L55" s="185">
        <f t="shared" si="33"/>
        <v>1.2999999999999999E-3</v>
      </c>
      <c r="M55" s="185">
        <f t="shared" si="43"/>
        <v>28</v>
      </c>
      <c r="N55" s="171">
        <f t="shared" si="34"/>
        <v>0.71119999999885264</v>
      </c>
      <c r="O55" s="187">
        <f t="shared" si="44"/>
        <v>9.5299999999999985E-3</v>
      </c>
      <c r="P55" s="188">
        <f t="shared" si="35"/>
        <v>0.69213999999885267</v>
      </c>
      <c r="Q55" s="215">
        <f t="shared" si="45"/>
        <v>1.8333333333333333E-5</v>
      </c>
      <c r="R55" s="186">
        <f t="shared" si="36"/>
        <v>1020253.4744588957</v>
      </c>
      <c r="S55" s="185">
        <f t="shared" si="37"/>
        <v>700</v>
      </c>
      <c r="T55" s="185">
        <f t="shared" si="38"/>
        <v>1030</v>
      </c>
      <c r="U55" s="171">
        <f t="shared" si="39"/>
        <v>0.7</v>
      </c>
      <c r="V55" s="189">
        <f t="shared" ca="1" si="40"/>
        <v>9.0617590422661127</v>
      </c>
      <c r="W55" s="189">
        <f t="shared" ca="1" si="41"/>
        <v>9.061759042266111</v>
      </c>
      <c r="X55" s="190">
        <f t="shared" ca="1" si="42"/>
        <v>0</v>
      </c>
    </row>
    <row r="56" spans="1:24">
      <c r="A56" s="178">
        <v>7</v>
      </c>
      <c r="B56" s="214">
        <f t="shared" si="23"/>
        <v>1.9999999999999997E-2</v>
      </c>
      <c r="C56" s="180">
        <f t="shared" si="24"/>
        <v>692.13999999885266</v>
      </c>
      <c r="D56" s="181">
        <f t="shared" si="25"/>
        <v>9.5299999999999994</v>
      </c>
      <c r="E56" s="180">
        <f t="shared" si="26"/>
        <v>1.8604596757864</v>
      </c>
      <c r="F56" s="182">
        <f t="shared" ca="1" si="27"/>
        <v>1.2225753347728668E-2</v>
      </c>
      <c r="G56" s="183">
        <f t="shared" ca="1" si="28"/>
        <v>218.20744930526871</v>
      </c>
      <c r="H56" s="184">
        <f t="shared" ca="1" si="29"/>
        <v>1881.5322239609504</v>
      </c>
      <c r="I56" s="184">
        <f t="shared" si="30"/>
        <v>8622.6764024390268</v>
      </c>
      <c r="J56" s="291">
        <f t="shared" ca="1" si="31"/>
        <v>2765852.3692225968</v>
      </c>
      <c r="K56" s="291">
        <f t="shared" si="32"/>
        <v>12675334.311585369</v>
      </c>
      <c r="L56" s="185">
        <f t="shared" si="33"/>
        <v>1.2999999999999999E-3</v>
      </c>
      <c r="M56" s="185">
        <f t="shared" si="43"/>
        <v>28</v>
      </c>
      <c r="N56" s="171">
        <f t="shared" si="34"/>
        <v>0.71119999999885264</v>
      </c>
      <c r="O56" s="187">
        <f t="shared" si="44"/>
        <v>9.5299999999999985E-3</v>
      </c>
      <c r="P56" s="188">
        <f t="shared" si="35"/>
        <v>0.69213999999885267</v>
      </c>
      <c r="Q56" s="215">
        <f t="shared" si="45"/>
        <v>1.9999999999999998E-5</v>
      </c>
      <c r="R56" s="186">
        <f t="shared" si="36"/>
        <v>1020253.4744588957</v>
      </c>
      <c r="S56" s="185">
        <f t="shared" si="37"/>
        <v>700</v>
      </c>
      <c r="T56" s="185">
        <f t="shared" si="38"/>
        <v>1030</v>
      </c>
      <c r="U56" s="171">
        <f t="shared" si="39"/>
        <v>0.7</v>
      </c>
      <c r="V56" s="189">
        <f t="shared" ca="1" si="40"/>
        <v>9.0440339745386016</v>
      </c>
      <c r="W56" s="189">
        <f t="shared" ca="1" si="41"/>
        <v>9.0440339745386016</v>
      </c>
      <c r="X56" s="190">
        <f t="shared" ca="1" si="42"/>
        <v>0</v>
      </c>
    </row>
    <row r="57" spans="1:24">
      <c r="A57" s="178">
        <v>8</v>
      </c>
      <c r="B57" s="214">
        <f t="shared" si="23"/>
        <v>2.1666666666666664E-2</v>
      </c>
      <c r="C57" s="180">
        <f t="shared" si="24"/>
        <v>692.13999999885266</v>
      </c>
      <c r="D57" s="181">
        <f t="shared" si="25"/>
        <v>9.5299999999999994</v>
      </c>
      <c r="E57" s="180">
        <f t="shared" si="26"/>
        <v>1.8604596757864</v>
      </c>
      <c r="F57" s="182">
        <f t="shared" ca="1" si="27"/>
        <v>1.2272914993429024E-2</v>
      </c>
      <c r="G57" s="183">
        <f t="shared" ca="1" si="28"/>
        <v>219.04919885808673</v>
      </c>
      <c r="H57" s="184">
        <f t="shared" ca="1" si="29"/>
        <v>1888.790357966798</v>
      </c>
      <c r="I57" s="184">
        <f t="shared" si="30"/>
        <v>8622.6764024390268</v>
      </c>
      <c r="J57" s="291">
        <f t="shared" ca="1" si="31"/>
        <v>2776521.8262111926</v>
      </c>
      <c r="K57" s="291">
        <f t="shared" si="32"/>
        <v>12675334.311585369</v>
      </c>
      <c r="L57" s="185">
        <f t="shared" si="33"/>
        <v>1.2999999999999999E-3</v>
      </c>
      <c r="M57" s="185">
        <f t="shared" si="43"/>
        <v>28</v>
      </c>
      <c r="N57" s="171">
        <f t="shared" si="34"/>
        <v>0.71119999999885264</v>
      </c>
      <c r="O57" s="187">
        <f t="shared" si="44"/>
        <v>9.5299999999999985E-3</v>
      </c>
      <c r="P57" s="188">
        <f t="shared" si="35"/>
        <v>0.69213999999885267</v>
      </c>
      <c r="Q57" s="215">
        <f t="shared" si="45"/>
        <v>2.1666666666666664E-5</v>
      </c>
      <c r="R57" s="186">
        <f t="shared" si="36"/>
        <v>1020253.4744588957</v>
      </c>
      <c r="S57" s="185">
        <f t="shared" si="37"/>
        <v>700</v>
      </c>
      <c r="T57" s="185">
        <f t="shared" si="38"/>
        <v>1030</v>
      </c>
      <c r="U57" s="171">
        <f t="shared" si="39"/>
        <v>0.7</v>
      </c>
      <c r="V57" s="189">
        <f t="shared" ca="1" si="40"/>
        <v>9.0266403040825463</v>
      </c>
      <c r="W57" s="189">
        <f t="shared" ca="1" si="41"/>
        <v>9.0266403040825463</v>
      </c>
      <c r="X57" s="190">
        <f t="shared" ca="1" si="42"/>
        <v>0</v>
      </c>
    </row>
    <row r="58" spans="1:24">
      <c r="A58" s="178">
        <v>9</v>
      </c>
      <c r="B58" s="214">
        <f t="shared" si="23"/>
        <v>2.3333333333333327E-2</v>
      </c>
      <c r="C58" s="180">
        <f t="shared" si="24"/>
        <v>692.13999999885266</v>
      </c>
      <c r="D58" s="181">
        <f t="shared" si="25"/>
        <v>9.5299999999999994</v>
      </c>
      <c r="E58" s="180">
        <f t="shared" si="26"/>
        <v>1.8604596757864</v>
      </c>
      <c r="F58" s="182">
        <f t="shared" ca="1" si="27"/>
        <v>1.2319475861768859E-2</v>
      </c>
      <c r="G58" s="183">
        <f t="shared" ca="1" si="28"/>
        <v>219.88022562829073</v>
      </c>
      <c r="H58" s="184">
        <f t="shared" ca="1" si="29"/>
        <v>1895.9560328880309</v>
      </c>
      <c r="I58" s="184">
        <f t="shared" si="30"/>
        <v>8622.6764024390268</v>
      </c>
      <c r="J58" s="291">
        <f t="shared" ca="1" si="31"/>
        <v>2787055.368345405</v>
      </c>
      <c r="K58" s="291">
        <f t="shared" si="32"/>
        <v>12675334.311585369</v>
      </c>
      <c r="L58" s="185">
        <f t="shared" si="33"/>
        <v>1.2999999999999999E-3</v>
      </c>
      <c r="M58" s="185">
        <f t="shared" si="43"/>
        <v>28</v>
      </c>
      <c r="N58" s="171">
        <f t="shared" si="34"/>
        <v>0.71119999999885264</v>
      </c>
      <c r="O58" s="187">
        <f t="shared" si="44"/>
        <v>9.5299999999999985E-3</v>
      </c>
      <c r="P58" s="188">
        <f t="shared" si="35"/>
        <v>0.69213999999885267</v>
      </c>
      <c r="Q58" s="215">
        <f t="shared" si="45"/>
        <v>2.3333333333333329E-5</v>
      </c>
      <c r="R58" s="186">
        <f t="shared" si="36"/>
        <v>1020253.4744588957</v>
      </c>
      <c r="S58" s="185">
        <f t="shared" si="37"/>
        <v>700</v>
      </c>
      <c r="T58" s="185">
        <f t="shared" si="38"/>
        <v>1030</v>
      </c>
      <c r="U58" s="171">
        <f t="shared" si="39"/>
        <v>0.7</v>
      </c>
      <c r="V58" s="189">
        <f t="shared" ca="1" si="40"/>
        <v>9.0095662790805697</v>
      </c>
      <c r="W58" s="189">
        <f t="shared" ca="1" si="41"/>
        <v>9.0095662790805697</v>
      </c>
      <c r="X58" s="190">
        <f t="shared" ca="1" si="42"/>
        <v>0</v>
      </c>
    </row>
    <row r="59" spans="1:24">
      <c r="A59" s="178">
        <v>10</v>
      </c>
      <c r="B59" s="214">
        <f t="shared" si="23"/>
        <v>2.4999999999999994E-2</v>
      </c>
      <c r="C59" s="180">
        <f t="shared" si="24"/>
        <v>692.13999999885266</v>
      </c>
      <c r="D59" s="181">
        <f t="shared" si="25"/>
        <v>9.5299999999999994</v>
      </c>
      <c r="E59" s="180">
        <f t="shared" si="26"/>
        <v>1.8604596757864</v>
      </c>
      <c r="F59" s="182">
        <f t="shared" ca="1" si="27"/>
        <v>1.236545377306617E-2</v>
      </c>
      <c r="G59" s="183">
        <f t="shared" ca="1" si="28"/>
        <v>220.70084767612829</v>
      </c>
      <c r="H59" s="184">
        <f t="shared" ca="1" si="29"/>
        <v>1903.0319912552411</v>
      </c>
      <c r="I59" s="184">
        <f t="shared" si="30"/>
        <v>8622.6764024390268</v>
      </c>
      <c r="J59" s="291">
        <f t="shared" ca="1" si="31"/>
        <v>2797457.0271452041</v>
      </c>
      <c r="K59" s="291">
        <f t="shared" si="32"/>
        <v>12675334.311585369</v>
      </c>
      <c r="L59" s="185">
        <f t="shared" si="33"/>
        <v>1.2999999999999999E-3</v>
      </c>
      <c r="M59" s="185">
        <f t="shared" si="43"/>
        <v>28</v>
      </c>
      <c r="N59" s="171">
        <f t="shared" si="34"/>
        <v>0.71119999999885264</v>
      </c>
      <c r="O59" s="187">
        <f t="shared" si="44"/>
        <v>9.5299999999999985E-3</v>
      </c>
      <c r="P59" s="188">
        <f t="shared" si="35"/>
        <v>0.69213999999885267</v>
      </c>
      <c r="Q59" s="215">
        <f t="shared" si="45"/>
        <v>2.4999999999999994E-5</v>
      </c>
      <c r="R59" s="186">
        <f t="shared" si="36"/>
        <v>1020253.4744588957</v>
      </c>
      <c r="S59" s="185">
        <f t="shared" si="37"/>
        <v>700</v>
      </c>
      <c r="T59" s="185">
        <f t="shared" si="38"/>
        <v>1030</v>
      </c>
      <c r="U59" s="171">
        <f t="shared" si="39"/>
        <v>0.7</v>
      </c>
      <c r="V59" s="189">
        <f t="shared" ca="1" si="40"/>
        <v>8.9928007471466742</v>
      </c>
      <c r="W59" s="189">
        <f t="shared" ca="1" si="41"/>
        <v>8.9928007471466742</v>
      </c>
      <c r="X59" s="190">
        <f t="shared" ca="1" si="42"/>
        <v>0</v>
      </c>
    </row>
    <row r="60" spans="1:24">
      <c r="A60" s="178">
        <v>11</v>
      </c>
      <c r="B60" s="214">
        <f t="shared" si="23"/>
        <v>2.6666666666666661E-2</v>
      </c>
      <c r="C60" s="180">
        <f t="shared" si="24"/>
        <v>692.13999999885266</v>
      </c>
      <c r="D60" s="181">
        <f t="shared" si="25"/>
        <v>9.5299999999999994</v>
      </c>
      <c r="E60" s="180">
        <f t="shared" si="26"/>
        <v>1.8604596757864</v>
      </c>
      <c r="F60" s="182">
        <f t="shared" ca="1" si="27"/>
        <v>1.2410865750182973E-2</v>
      </c>
      <c r="G60" s="183">
        <f t="shared" ca="1" si="28"/>
        <v>221.51136882870884</v>
      </c>
      <c r="H60" s="184">
        <f t="shared" ca="1" si="29"/>
        <v>1910.0208528712751</v>
      </c>
      <c r="I60" s="184">
        <f t="shared" si="30"/>
        <v>8622.6764024390268</v>
      </c>
      <c r="J60" s="291">
        <f t="shared" ca="1" si="31"/>
        <v>2807730.6537207742</v>
      </c>
      <c r="K60" s="291">
        <f t="shared" si="32"/>
        <v>12675334.311585369</v>
      </c>
      <c r="L60" s="185">
        <f t="shared" si="33"/>
        <v>1.2999999999999999E-3</v>
      </c>
      <c r="M60" s="185">
        <f t="shared" si="43"/>
        <v>28</v>
      </c>
      <c r="N60" s="171">
        <f t="shared" si="34"/>
        <v>0.71119999999885264</v>
      </c>
      <c r="O60" s="187">
        <f t="shared" si="44"/>
        <v>9.5299999999999985E-3</v>
      </c>
      <c r="P60" s="188">
        <f t="shared" si="35"/>
        <v>0.69213999999885267</v>
      </c>
      <c r="Q60" s="215">
        <f t="shared" si="45"/>
        <v>2.666666666666666E-5</v>
      </c>
      <c r="R60" s="186">
        <f t="shared" si="36"/>
        <v>1020253.4744588957</v>
      </c>
      <c r="S60" s="185">
        <f t="shared" si="37"/>
        <v>700</v>
      </c>
      <c r="T60" s="185">
        <f t="shared" si="38"/>
        <v>1030</v>
      </c>
      <c r="U60" s="171">
        <f t="shared" si="39"/>
        <v>0.7</v>
      </c>
      <c r="V60" s="189">
        <f t="shared" ca="1" si="40"/>
        <v>8.9763331160205837</v>
      </c>
      <c r="W60" s="189">
        <f t="shared" ca="1" si="41"/>
        <v>8.9763331160205837</v>
      </c>
      <c r="X60" s="190">
        <f t="shared" ca="1" si="42"/>
        <v>0</v>
      </c>
    </row>
    <row r="61" spans="1:24">
      <c r="A61" s="178">
        <v>12</v>
      </c>
      <c r="B61" s="214">
        <f t="shared" si="23"/>
        <v>2.8333333333333325E-2</v>
      </c>
      <c r="C61" s="180">
        <f t="shared" si="24"/>
        <v>692.13999999885266</v>
      </c>
      <c r="D61" s="181">
        <f t="shared" si="25"/>
        <v>9.5299999999999994</v>
      </c>
      <c r="E61" s="180">
        <f t="shared" si="26"/>
        <v>1.8604596757864</v>
      </c>
      <c r="F61" s="182">
        <f t="shared" ca="1" si="27"/>
        <v>1.2455728065327071E-2</v>
      </c>
      <c r="G61" s="183">
        <f t="shared" ca="1" si="28"/>
        <v>222.31207951533017</v>
      </c>
      <c r="H61" s="184">
        <f t="shared" ca="1" si="29"/>
        <v>1916.9251220139854</v>
      </c>
      <c r="I61" s="184">
        <f t="shared" si="30"/>
        <v>8622.6764024390268</v>
      </c>
      <c r="J61" s="291">
        <f t="shared" ca="1" si="31"/>
        <v>2817879.9293605583</v>
      </c>
      <c r="K61" s="291">
        <f t="shared" si="32"/>
        <v>12675334.311585369</v>
      </c>
      <c r="L61" s="185">
        <f t="shared" si="33"/>
        <v>1.2999999999999999E-3</v>
      </c>
      <c r="M61" s="185">
        <f t="shared" si="43"/>
        <v>28</v>
      </c>
      <c r="N61" s="171">
        <f t="shared" si="34"/>
        <v>0.71119999999885264</v>
      </c>
      <c r="O61" s="187">
        <f t="shared" si="44"/>
        <v>9.5299999999999985E-3</v>
      </c>
      <c r="P61" s="188">
        <f t="shared" si="35"/>
        <v>0.69213999999885267</v>
      </c>
      <c r="Q61" s="215">
        <f t="shared" si="45"/>
        <v>2.8333333333333325E-5</v>
      </c>
      <c r="R61" s="186">
        <f t="shared" si="36"/>
        <v>1020253.4744588957</v>
      </c>
      <c r="S61" s="185">
        <f t="shared" si="37"/>
        <v>700</v>
      </c>
      <c r="T61" s="185">
        <f t="shared" si="38"/>
        <v>1030</v>
      </c>
      <c r="U61" s="171">
        <f t="shared" si="39"/>
        <v>0.7</v>
      </c>
      <c r="V61" s="189">
        <f t="shared" ca="1" si="40"/>
        <v>8.9601533173779622</v>
      </c>
      <c r="W61" s="189">
        <f t="shared" ca="1" si="41"/>
        <v>8.9601533173779604</v>
      </c>
      <c r="X61" s="190">
        <f t="shared" ca="1" si="42"/>
        <v>0</v>
      </c>
    </row>
    <row r="62" spans="1:24">
      <c r="A62" s="178">
        <v>13</v>
      </c>
      <c r="B62" s="214">
        <f t="shared" si="23"/>
        <v>2.9999999999999992E-2</v>
      </c>
      <c r="C62" s="180">
        <f t="shared" si="24"/>
        <v>692.13999999885266</v>
      </c>
      <c r="D62" s="181">
        <f t="shared" si="25"/>
        <v>9.5299999999999994</v>
      </c>
      <c r="E62" s="180">
        <f t="shared" si="26"/>
        <v>1.8604596757864</v>
      </c>
      <c r="F62" s="182">
        <f t="shared" ca="1" si="27"/>
        <v>1.2500056283502013E-2</v>
      </c>
      <c r="G62" s="183">
        <f t="shared" ca="1" si="28"/>
        <v>223.10325754298097</v>
      </c>
      <c r="H62" s="184">
        <f t="shared" ca="1" si="29"/>
        <v>1923.7471941231383</v>
      </c>
      <c r="I62" s="184">
        <f t="shared" si="30"/>
        <v>8622.6764024390268</v>
      </c>
      <c r="J62" s="291">
        <f t="shared" ca="1" si="31"/>
        <v>2827908.3753610132</v>
      </c>
      <c r="K62" s="291">
        <f t="shared" si="32"/>
        <v>12675334.311585369</v>
      </c>
      <c r="L62" s="185">
        <f t="shared" si="33"/>
        <v>1.2999999999999999E-3</v>
      </c>
      <c r="M62" s="185">
        <f t="shared" si="43"/>
        <v>28</v>
      </c>
      <c r="N62" s="171">
        <f t="shared" si="34"/>
        <v>0.71119999999885264</v>
      </c>
      <c r="O62" s="187">
        <f t="shared" si="44"/>
        <v>9.5299999999999985E-3</v>
      </c>
      <c r="P62" s="188">
        <f t="shared" si="35"/>
        <v>0.69213999999885267</v>
      </c>
      <c r="Q62" s="215">
        <f t="shared" si="45"/>
        <v>2.9999999999999991E-5</v>
      </c>
      <c r="R62" s="186">
        <f t="shared" si="36"/>
        <v>1020253.4744588957</v>
      </c>
      <c r="S62" s="185">
        <f t="shared" si="37"/>
        <v>700</v>
      </c>
      <c r="T62" s="185">
        <f t="shared" si="38"/>
        <v>1030</v>
      </c>
      <c r="U62" s="171">
        <f t="shared" si="39"/>
        <v>0.7</v>
      </c>
      <c r="V62" s="189">
        <f t="shared" ca="1" si="40"/>
        <v>8.9442517734693183</v>
      </c>
      <c r="W62" s="189">
        <f t="shared" ca="1" si="41"/>
        <v>8.9442517734693165</v>
      </c>
      <c r="X62" s="190">
        <f t="shared" ca="1" si="42"/>
        <v>0</v>
      </c>
    </row>
    <row r="63" spans="1:24">
      <c r="A63" s="178">
        <v>14</v>
      </c>
      <c r="B63" s="214">
        <f t="shared" si="23"/>
        <v>3.1666666666666662E-2</v>
      </c>
      <c r="C63" s="180">
        <f t="shared" si="24"/>
        <v>692.13999999885266</v>
      </c>
      <c r="D63" s="181">
        <f t="shared" si="25"/>
        <v>9.5299999999999994</v>
      </c>
      <c r="E63" s="180">
        <f t="shared" si="26"/>
        <v>1.8604596757864</v>
      </c>
      <c r="F63" s="182">
        <f t="shared" ca="1" si="27"/>
        <v>1.2543865302885416E-2</v>
      </c>
      <c r="G63" s="183">
        <f t="shared" ca="1" si="28"/>
        <v>223.88516881702068</v>
      </c>
      <c r="H63" s="184">
        <f t="shared" ca="1" si="29"/>
        <v>1930.4893620146017</v>
      </c>
      <c r="I63" s="184">
        <f t="shared" si="30"/>
        <v>8622.6764024390268</v>
      </c>
      <c r="J63" s="291">
        <f t="shared" ca="1" si="31"/>
        <v>2837819.3621614645</v>
      </c>
      <c r="K63" s="291">
        <f t="shared" si="32"/>
        <v>12675334.311585369</v>
      </c>
      <c r="L63" s="185">
        <f t="shared" si="33"/>
        <v>1.2999999999999999E-3</v>
      </c>
      <c r="M63" s="185">
        <f t="shared" si="43"/>
        <v>28</v>
      </c>
      <c r="N63" s="171">
        <f t="shared" si="34"/>
        <v>0.71119999999885264</v>
      </c>
      <c r="O63" s="187">
        <f t="shared" si="44"/>
        <v>9.5299999999999985E-3</v>
      </c>
      <c r="P63" s="188">
        <f t="shared" si="35"/>
        <v>0.69213999999885267</v>
      </c>
      <c r="Q63" s="215">
        <f t="shared" si="45"/>
        <v>3.1666666666666659E-5</v>
      </c>
      <c r="R63" s="186">
        <f t="shared" si="36"/>
        <v>1020253.4744588957</v>
      </c>
      <c r="S63" s="185">
        <f t="shared" si="37"/>
        <v>700</v>
      </c>
      <c r="T63" s="185">
        <f t="shared" si="38"/>
        <v>1030</v>
      </c>
      <c r="U63" s="171">
        <f t="shared" si="39"/>
        <v>0.7</v>
      </c>
      <c r="V63" s="189">
        <f t="shared" ca="1" si="40"/>
        <v>8.9286193663302935</v>
      </c>
      <c r="W63" s="189">
        <f t="shared" ca="1" si="41"/>
        <v>8.9286193663302935</v>
      </c>
      <c r="X63" s="190">
        <f t="shared" ca="1" si="42"/>
        <v>0</v>
      </c>
    </row>
    <row r="64" spans="1:24">
      <c r="A64" s="178">
        <v>15</v>
      </c>
      <c r="B64" s="214">
        <f t="shared" si="23"/>
        <v>3.3333333333333326E-2</v>
      </c>
      <c r="C64" s="180">
        <f t="shared" si="24"/>
        <v>692.13999999885266</v>
      </c>
      <c r="D64" s="181">
        <f t="shared" si="25"/>
        <v>9.5299999999999994</v>
      </c>
      <c r="E64" s="180">
        <f t="shared" si="26"/>
        <v>1.8604596757864</v>
      </c>
      <c r="F64" s="182">
        <f t="shared" ca="1" si="27"/>
        <v>1.2587169392389259E-2</v>
      </c>
      <c r="G64" s="183">
        <f t="shared" ca="1" si="28"/>
        <v>224.65806801156205</v>
      </c>
      <c r="H64" s="184">
        <f t="shared" ca="1" si="29"/>
        <v>1937.1538216608376</v>
      </c>
      <c r="I64" s="184">
        <f t="shared" si="30"/>
        <v>8622.6764024390268</v>
      </c>
      <c r="J64" s="291">
        <f t="shared" ca="1" si="31"/>
        <v>2847616.1178414314</v>
      </c>
      <c r="K64" s="291">
        <f t="shared" si="32"/>
        <v>12675334.311585369</v>
      </c>
      <c r="L64" s="185">
        <f t="shared" si="33"/>
        <v>1.2999999999999999E-3</v>
      </c>
      <c r="M64" s="185">
        <f t="shared" si="43"/>
        <v>28</v>
      </c>
      <c r="N64" s="171">
        <f t="shared" si="34"/>
        <v>0.71119999999885264</v>
      </c>
      <c r="O64" s="187">
        <f t="shared" si="44"/>
        <v>9.5299999999999985E-3</v>
      </c>
      <c r="P64" s="188">
        <f t="shared" si="35"/>
        <v>0.69213999999885267</v>
      </c>
      <c r="Q64" s="215">
        <f t="shared" si="45"/>
        <v>3.3333333333333328E-5</v>
      </c>
      <c r="R64" s="186">
        <f t="shared" si="36"/>
        <v>1020253.4744588957</v>
      </c>
      <c r="S64" s="185">
        <f t="shared" si="37"/>
        <v>700</v>
      </c>
      <c r="T64" s="185">
        <f t="shared" si="38"/>
        <v>1030</v>
      </c>
      <c r="U64" s="171">
        <f t="shared" si="39"/>
        <v>0.7</v>
      </c>
      <c r="V64" s="189">
        <f t="shared" ca="1" si="40"/>
        <v>8.9132474093325964</v>
      </c>
      <c r="W64" s="189">
        <f t="shared" ca="1" si="41"/>
        <v>8.9132474093325964</v>
      </c>
      <c r="X64" s="190">
        <f t="shared" ca="1" si="42"/>
        <v>0</v>
      </c>
    </row>
    <row r="65" spans="1:24">
      <c r="A65" s="178">
        <v>16</v>
      </c>
      <c r="B65" s="214">
        <f t="shared" si="23"/>
        <v>3.4999999999999996E-2</v>
      </c>
      <c r="C65" s="180">
        <f t="shared" si="24"/>
        <v>692.13999999885266</v>
      </c>
      <c r="D65" s="181">
        <f t="shared" si="25"/>
        <v>9.5299999999999994</v>
      </c>
      <c r="E65" s="180">
        <f t="shared" si="26"/>
        <v>1.8604596757864</v>
      </c>
      <c r="F65" s="182">
        <f t="shared" ca="1" si="27"/>
        <v>1.2629982226632043E-2</v>
      </c>
      <c r="G65" s="183">
        <f t="shared" ca="1" si="28"/>
        <v>225.42219919366073</v>
      </c>
      <c r="H65" s="184">
        <f t="shared" ca="1" si="29"/>
        <v>1943.7426775730878</v>
      </c>
      <c r="I65" s="184">
        <f t="shared" si="30"/>
        <v>8622.6764024390268</v>
      </c>
      <c r="J65" s="291">
        <f t="shared" ca="1" si="31"/>
        <v>2857301.7360324389</v>
      </c>
      <c r="K65" s="291">
        <f t="shared" si="32"/>
        <v>12675334.311585369</v>
      </c>
      <c r="L65" s="185">
        <f t="shared" si="33"/>
        <v>1.2999999999999999E-3</v>
      </c>
      <c r="M65" s="185">
        <f t="shared" si="43"/>
        <v>28</v>
      </c>
      <c r="N65" s="171">
        <f t="shared" si="34"/>
        <v>0.71119999999885264</v>
      </c>
      <c r="O65" s="187">
        <f t="shared" si="44"/>
        <v>9.5299999999999985E-3</v>
      </c>
      <c r="P65" s="188">
        <f t="shared" si="35"/>
        <v>0.69213999999885267</v>
      </c>
      <c r="Q65" s="215">
        <f t="shared" si="45"/>
        <v>3.4999999999999997E-5</v>
      </c>
      <c r="R65" s="186">
        <f t="shared" si="36"/>
        <v>1020253.4744588957</v>
      </c>
      <c r="S65" s="185">
        <f t="shared" si="37"/>
        <v>700</v>
      </c>
      <c r="T65" s="185">
        <f t="shared" si="38"/>
        <v>1030</v>
      </c>
      <c r="U65" s="171">
        <f t="shared" si="39"/>
        <v>0.7</v>
      </c>
      <c r="V65" s="189">
        <f t="shared" ca="1" si="40"/>
        <v>8.89812762086828</v>
      </c>
      <c r="W65" s="189">
        <f t="shared" ca="1" si="41"/>
        <v>8.89812762086828</v>
      </c>
      <c r="X65" s="190">
        <f t="shared" ca="1" si="42"/>
        <v>0</v>
      </c>
    </row>
    <row r="66" spans="1:24">
      <c r="A66" s="178">
        <v>17</v>
      </c>
      <c r="B66" s="214">
        <f t="shared" si="23"/>
        <v>3.6666666666666667E-2</v>
      </c>
      <c r="C66" s="180">
        <f t="shared" si="24"/>
        <v>692.13999999885266</v>
      </c>
      <c r="D66" s="181">
        <f t="shared" si="25"/>
        <v>9.5299999999999994</v>
      </c>
      <c r="E66" s="180">
        <f t="shared" si="26"/>
        <v>1.8604596757864</v>
      </c>
      <c r="F66" s="182">
        <f t="shared" ca="1" si="27"/>
        <v>1.2672316918531509E-2</v>
      </c>
      <c r="G66" s="183">
        <f t="shared" ca="1" si="28"/>
        <v>226.17779640503608</v>
      </c>
      <c r="H66" s="184">
        <f t="shared" ca="1" si="29"/>
        <v>1950.2579478173627</v>
      </c>
      <c r="I66" s="184">
        <f t="shared" si="30"/>
        <v>8622.6764024390268</v>
      </c>
      <c r="J66" s="291">
        <f t="shared" ca="1" si="31"/>
        <v>2866879.1832915233</v>
      </c>
      <c r="K66" s="291">
        <f t="shared" si="32"/>
        <v>12675334.311585369</v>
      </c>
      <c r="L66" s="185">
        <f t="shared" si="33"/>
        <v>1.2999999999999999E-3</v>
      </c>
      <c r="M66" s="185">
        <f t="shared" si="43"/>
        <v>28</v>
      </c>
      <c r="N66" s="171">
        <f t="shared" si="34"/>
        <v>0.71119999999885264</v>
      </c>
      <c r="O66" s="187">
        <f t="shared" si="44"/>
        <v>9.5299999999999985E-3</v>
      </c>
      <c r="P66" s="188">
        <f t="shared" si="35"/>
        <v>0.69213999999885267</v>
      </c>
      <c r="Q66" s="215">
        <f t="shared" si="45"/>
        <v>3.6666666666666666E-5</v>
      </c>
      <c r="R66" s="186">
        <f t="shared" si="36"/>
        <v>1020253.4744588957</v>
      </c>
      <c r="S66" s="185">
        <f t="shared" si="37"/>
        <v>700</v>
      </c>
      <c r="T66" s="185">
        <f t="shared" si="38"/>
        <v>1030</v>
      </c>
      <c r="U66" s="171">
        <f t="shared" si="39"/>
        <v>0.7</v>
      </c>
      <c r="V66" s="189">
        <f t="shared" ca="1" si="40"/>
        <v>8.883252099980897</v>
      </c>
      <c r="W66" s="189">
        <f t="shared" ca="1" si="41"/>
        <v>8.883252099980897</v>
      </c>
      <c r="X66" s="190">
        <f t="shared" ca="1" si="42"/>
        <v>0</v>
      </c>
    </row>
    <row r="67" spans="1:24">
      <c r="A67" s="178">
        <v>18</v>
      </c>
      <c r="B67" s="214">
        <f t="shared" si="23"/>
        <v>3.8333333333333337E-2</v>
      </c>
      <c r="C67" s="180">
        <f t="shared" si="24"/>
        <v>692.13999999885266</v>
      </c>
      <c r="D67" s="181">
        <f t="shared" si="25"/>
        <v>9.5299999999999994</v>
      </c>
      <c r="E67" s="180">
        <f t="shared" si="26"/>
        <v>1.8604596757864</v>
      </c>
      <c r="F67" s="182">
        <f t="shared" ca="1" si="27"/>
        <v>1.2714186049707471E-2</v>
      </c>
      <c r="G67" s="183">
        <f t="shared" ca="1" si="28"/>
        <v>226.92508420470631</v>
      </c>
      <c r="H67" s="184">
        <f t="shared" ca="1" si="29"/>
        <v>1956.7015686934096</v>
      </c>
      <c r="I67" s="184">
        <f t="shared" si="30"/>
        <v>8622.6764024390268</v>
      </c>
      <c r="J67" s="291">
        <f t="shared" ca="1" si="31"/>
        <v>2876351.3059793119</v>
      </c>
      <c r="K67" s="291">
        <f t="shared" si="32"/>
        <v>12675334.311585369</v>
      </c>
      <c r="L67" s="185">
        <f t="shared" si="33"/>
        <v>1.2999999999999999E-3</v>
      </c>
      <c r="M67" s="185">
        <f t="shared" si="43"/>
        <v>28</v>
      </c>
      <c r="N67" s="171">
        <f t="shared" si="34"/>
        <v>0.71119999999885264</v>
      </c>
      <c r="O67" s="187">
        <f t="shared" si="44"/>
        <v>9.5299999999999985E-3</v>
      </c>
      <c r="P67" s="188">
        <f t="shared" si="35"/>
        <v>0.69213999999885267</v>
      </c>
      <c r="Q67" s="215">
        <f t="shared" si="45"/>
        <v>3.8333333333333334E-5</v>
      </c>
      <c r="R67" s="186">
        <f t="shared" si="36"/>
        <v>1020253.4744588957</v>
      </c>
      <c r="S67" s="185">
        <f t="shared" si="37"/>
        <v>700</v>
      </c>
      <c r="T67" s="185">
        <f t="shared" si="38"/>
        <v>1030</v>
      </c>
      <c r="U67" s="171">
        <f t="shared" si="39"/>
        <v>0.7</v>
      </c>
      <c r="V67" s="189">
        <f t="shared" ca="1" si="40"/>
        <v>8.8686133037755397</v>
      </c>
      <c r="W67" s="189">
        <f t="shared" ca="1" si="41"/>
        <v>8.8686133037755397</v>
      </c>
      <c r="X67" s="190">
        <f t="shared" ca="1" si="42"/>
        <v>0</v>
      </c>
    </row>
    <row r="68" spans="1:24">
      <c r="A68" s="178">
        <v>19</v>
      </c>
      <c r="B68" s="214">
        <f t="shared" si="23"/>
        <v>0.04</v>
      </c>
      <c r="C68" s="180">
        <f t="shared" si="24"/>
        <v>692.13999999885266</v>
      </c>
      <c r="D68" s="181">
        <f t="shared" si="25"/>
        <v>9.5299999999999994</v>
      </c>
      <c r="E68" s="180">
        <f t="shared" si="26"/>
        <v>1.8604596757864</v>
      </c>
      <c r="F68" s="182">
        <f t="shared" ca="1" si="27"/>
        <v>1.2755601698867167E-2</v>
      </c>
      <c r="G68" s="183">
        <f t="shared" ca="1" si="28"/>
        <v>227.66427817561512</v>
      </c>
      <c r="H68" s="184">
        <f t="shared" ca="1" si="29"/>
        <v>1963.0753991031904</v>
      </c>
      <c r="I68" s="184">
        <f t="shared" si="30"/>
        <v>8622.6764024390268</v>
      </c>
      <c r="J68" s="291">
        <f t="shared" ca="1" si="31"/>
        <v>2885720.8366816896</v>
      </c>
      <c r="K68" s="291">
        <f t="shared" si="32"/>
        <v>12675334.311585369</v>
      </c>
      <c r="L68" s="185">
        <f t="shared" si="33"/>
        <v>1.2999999999999999E-3</v>
      </c>
      <c r="M68" s="185">
        <f t="shared" si="43"/>
        <v>28</v>
      </c>
      <c r="N68" s="171">
        <f t="shared" si="34"/>
        <v>0.71119999999885264</v>
      </c>
      <c r="O68" s="187">
        <f t="shared" si="44"/>
        <v>9.5299999999999985E-3</v>
      </c>
      <c r="P68" s="188">
        <f t="shared" si="35"/>
        <v>0.69213999999885267</v>
      </c>
      <c r="Q68" s="215">
        <f t="shared" si="45"/>
        <v>4.0000000000000003E-5</v>
      </c>
      <c r="R68" s="186">
        <f t="shared" si="36"/>
        <v>1020253.4744588957</v>
      </c>
      <c r="S68" s="185">
        <f t="shared" si="37"/>
        <v>700</v>
      </c>
      <c r="T68" s="185">
        <f t="shared" si="38"/>
        <v>1030</v>
      </c>
      <c r="U68" s="171">
        <f t="shared" si="39"/>
        <v>0.7</v>
      </c>
      <c r="V68" s="189">
        <f t="shared" ca="1" si="40"/>
        <v>8.8542040264562551</v>
      </c>
      <c r="W68" s="189">
        <f t="shared" ca="1" si="41"/>
        <v>8.8542040264562551</v>
      </c>
      <c r="X68" s="190">
        <f t="shared" ca="1" si="42"/>
        <v>0</v>
      </c>
    </row>
    <row r="69" spans="1:24">
      <c r="A69" s="178">
        <v>20</v>
      </c>
      <c r="B69" s="214">
        <f t="shared" si="23"/>
        <v>4.1666666666666671E-2</v>
      </c>
      <c r="C69" s="180">
        <f t="shared" si="24"/>
        <v>692.13999999885266</v>
      </c>
      <c r="D69" s="181">
        <f t="shared" si="25"/>
        <v>9.5299999999999994</v>
      </c>
      <c r="E69" s="180">
        <f t="shared" si="26"/>
        <v>1.8604596757864</v>
      </c>
      <c r="F69" s="182">
        <f t="shared" ca="1" si="27"/>
        <v>1.2796575468330153E-2</v>
      </c>
      <c r="G69" s="183">
        <f t="shared" ca="1" si="28"/>
        <v>228.39558539805316</v>
      </c>
      <c r="H69" s="184">
        <f t="shared" ca="1" si="29"/>
        <v>1969.3812246330401</v>
      </c>
      <c r="I69" s="184">
        <f t="shared" si="30"/>
        <v>8622.6764024390268</v>
      </c>
      <c r="J69" s="291">
        <f t="shared" ca="1" si="31"/>
        <v>2894990.4002105687</v>
      </c>
      <c r="K69" s="291">
        <f t="shared" si="32"/>
        <v>12675334.311585369</v>
      </c>
      <c r="L69" s="185">
        <f t="shared" si="33"/>
        <v>1.2999999999999999E-3</v>
      </c>
      <c r="M69" s="185">
        <f t="shared" si="43"/>
        <v>28</v>
      </c>
      <c r="N69" s="171">
        <f t="shared" si="34"/>
        <v>0.71119999999885264</v>
      </c>
      <c r="O69" s="187">
        <f t="shared" si="44"/>
        <v>9.5299999999999985E-3</v>
      </c>
      <c r="P69" s="188">
        <f t="shared" si="35"/>
        <v>0.69213999999885267</v>
      </c>
      <c r="Q69" s="215">
        <f t="shared" si="45"/>
        <v>4.1666666666666672E-5</v>
      </c>
      <c r="R69" s="186">
        <f t="shared" si="36"/>
        <v>1020253.4744588957</v>
      </c>
      <c r="S69" s="185">
        <f t="shared" si="37"/>
        <v>700</v>
      </c>
      <c r="T69" s="185">
        <f t="shared" si="38"/>
        <v>1030</v>
      </c>
      <c r="U69" s="171">
        <f t="shared" si="39"/>
        <v>0.7</v>
      </c>
      <c r="V69" s="189">
        <f t="shared" ca="1" si="40"/>
        <v>8.8400173798539559</v>
      </c>
      <c r="W69" s="189">
        <f t="shared" ca="1" si="41"/>
        <v>8.8400173798539559</v>
      </c>
      <c r="X69" s="190">
        <f t="shared" ca="1" si="42"/>
        <v>0</v>
      </c>
    </row>
    <row r="70" spans="1:24">
      <c r="A70" s="178">
        <v>21</v>
      </c>
      <c r="B70" s="214">
        <f t="shared" si="23"/>
        <v>4.3333333333333342E-2</v>
      </c>
      <c r="C70" s="180">
        <f t="shared" si="24"/>
        <v>692.13999999885266</v>
      </c>
      <c r="D70" s="181">
        <f t="shared" si="25"/>
        <v>9.5299999999999994</v>
      </c>
      <c r="E70" s="180">
        <f t="shared" si="26"/>
        <v>1.8604596757864</v>
      </c>
      <c r="F70" s="182">
        <f t="shared" ca="1" si="27"/>
        <v>1.2837118508835822E-2</v>
      </c>
      <c r="G70" s="183">
        <f t="shared" ca="1" si="28"/>
        <v>229.11920489242695</v>
      </c>
      <c r="H70" s="184">
        <f t="shared" ca="1" si="29"/>
        <v>1975.6207613715219</v>
      </c>
      <c r="I70" s="184">
        <f t="shared" si="30"/>
        <v>8622.6764024390268</v>
      </c>
      <c r="J70" s="291">
        <f t="shared" ca="1" si="31"/>
        <v>2904162.519216137</v>
      </c>
      <c r="K70" s="291">
        <f t="shared" si="32"/>
        <v>12675334.311585369</v>
      </c>
      <c r="L70" s="185">
        <f t="shared" si="33"/>
        <v>1.2999999999999999E-3</v>
      </c>
      <c r="M70" s="185">
        <f t="shared" si="43"/>
        <v>28</v>
      </c>
      <c r="N70" s="171">
        <f t="shared" si="34"/>
        <v>0.71119999999885264</v>
      </c>
      <c r="O70" s="187">
        <f t="shared" si="44"/>
        <v>9.5299999999999985E-3</v>
      </c>
      <c r="P70" s="188">
        <f t="shared" si="35"/>
        <v>0.69213999999885267</v>
      </c>
      <c r="Q70" s="215">
        <f t="shared" si="45"/>
        <v>4.3333333333333341E-5</v>
      </c>
      <c r="R70" s="186">
        <f t="shared" si="36"/>
        <v>1020253.4744588957</v>
      </c>
      <c r="S70" s="185">
        <f t="shared" si="37"/>
        <v>700</v>
      </c>
      <c r="T70" s="185">
        <f t="shared" si="38"/>
        <v>1030</v>
      </c>
      <c r="U70" s="171">
        <f t="shared" si="39"/>
        <v>0.7</v>
      </c>
      <c r="V70" s="189">
        <f t="shared" ca="1" si="40"/>
        <v>8.8260467753210374</v>
      </c>
      <c r="W70" s="189">
        <f t="shared" ca="1" si="41"/>
        <v>8.8260467753210374</v>
      </c>
      <c r="X70" s="190">
        <f t="shared" ca="1" si="42"/>
        <v>0</v>
      </c>
    </row>
    <row r="71" spans="1:24">
      <c r="A71" s="178">
        <v>22</v>
      </c>
      <c r="B71" s="214">
        <f t="shared" si="23"/>
        <v>4.5000000000000012E-2</v>
      </c>
      <c r="C71" s="180">
        <f t="shared" si="24"/>
        <v>692.13999999885266</v>
      </c>
      <c r="D71" s="181">
        <f t="shared" si="25"/>
        <v>9.5299999999999994</v>
      </c>
      <c r="E71" s="180">
        <f t="shared" si="26"/>
        <v>1.8604596757864</v>
      </c>
      <c r="F71" s="182">
        <f t="shared" ca="1" si="27"/>
        <v>1.2877241542764116E-2</v>
      </c>
      <c r="G71" s="183">
        <f t="shared" ca="1" si="28"/>
        <v>229.83532803370628</v>
      </c>
      <c r="H71" s="184">
        <f t="shared" ca="1" si="29"/>
        <v>1981.7956594830714</v>
      </c>
      <c r="I71" s="184">
        <f t="shared" si="30"/>
        <v>8622.6764024390268</v>
      </c>
      <c r="J71" s="291">
        <f t="shared" ca="1" si="31"/>
        <v>2913239.6194401151</v>
      </c>
      <c r="K71" s="291">
        <f t="shared" si="32"/>
        <v>12675334.311585369</v>
      </c>
      <c r="L71" s="185">
        <f t="shared" si="33"/>
        <v>1.2999999999999999E-3</v>
      </c>
      <c r="M71" s="185">
        <f t="shared" si="43"/>
        <v>28</v>
      </c>
      <c r="N71" s="171">
        <f t="shared" si="34"/>
        <v>0.71119999999885264</v>
      </c>
      <c r="O71" s="187">
        <f t="shared" si="44"/>
        <v>9.5299999999999985E-3</v>
      </c>
      <c r="P71" s="188">
        <f t="shared" si="35"/>
        <v>0.69213999999885267</v>
      </c>
      <c r="Q71" s="215">
        <f t="shared" si="45"/>
        <v>4.500000000000001E-5</v>
      </c>
      <c r="R71" s="186">
        <f t="shared" si="36"/>
        <v>1020253.4744588957</v>
      </c>
      <c r="S71" s="185">
        <f t="shared" si="37"/>
        <v>700</v>
      </c>
      <c r="T71" s="185">
        <f t="shared" si="38"/>
        <v>1030</v>
      </c>
      <c r="U71" s="171">
        <f t="shared" si="39"/>
        <v>0.7</v>
      </c>
      <c r="V71" s="189">
        <f t="shared" ca="1" si="40"/>
        <v>8.8122859068806214</v>
      </c>
      <c r="W71" s="189">
        <f t="shared" ca="1" si="41"/>
        <v>8.8122859068806214</v>
      </c>
      <c r="X71" s="190">
        <f t="shared" ca="1" si="42"/>
        <v>0</v>
      </c>
    </row>
    <row r="72" spans="1:24">
      <c r="A72" s="178">
        <v>23</v>
      </c>
      <c r="B72" s="214">
        <f t="shared" si="23"/>
        <v>4.6666666666666676E-2</v>
      </c>
      <c r="C72" s="180">
        <f t="shared" si="24"/>
        <v>692.13999999885266</v>
      </c>
      <c r="D72" s="181">
        <f t="shared" si="25"/>
        <v>9.5299999999999994</v>
      </c>
      <c r="E72" s="180">
        <f t="shared" si="26"/>
        <v>1.8604596757864</v>
      </c>
      <c r="F72" s="182">
        <f t="shared" ca="1" si="27"/>
        <v>1.2916954885888695E-2</v>
      </c>
      <c r="G72" s="183">
        <f t="shared" ca="1" si="28"/>
        <v>230.54413893967876</v>
      </c>
      <c r="H72" s="184">
        <f t="shared" ca="1" si="29"/>
        <v>1987.907506555792</v>
      </c>
      <c r="I72" s="184">
        <f t="shared" si="30"/>
        <v>8622.6764024390268</v>
      </c>
      <c r="J72" s="291">
        <f t="shared" ca="1" si="31"/>
        <v>2922224.0346370144</v>
      </c>
      <c r="K72" s="291">
        <f t="shared" si="32"/>
        <v>12675334.311585369</v>
      </c>
      <c r="L72" s="185">
        <f t="shared" si="33"/>
        <v>1.2999999999999999E-3</v>
      </c>
      <c r="M72" s="185">
        <f t="shared" si="43"/>
        <v>28</v>
      </c>
      <c r="N72" s="171">
        <f t="shared" si="34"/>
        <v>0.71119999999885264</v>
      </c>
      <c r="O72" s="187">
        <f t="shared" si="44"/>
        <v>9.5299999999999985E-3</v>
      </c>
      <c r="P72" s="188">
        <f t="shared" si="35"/>
        <v>0.69213999999885267</v>
      </c>
      <c r="Q72" s="215">
        <f t="shared" si="45"/>
        <v>4.6666666666666678E-5</v>
      </c>
      <c r="R72" s="186">
        <f t="shared" si="36"/>
        <v>1020253.4744588957</v>
      </c>
      <c r="S72" s="185">
        <f t="shared" si="37"/>
        <v>700</v>
      </c>
      <c r="T72" s="185">
        <f t="shared" si="38"/>
        <v>1030</v>
      </c>
      <c r="U72" s="171">
        <f t="shared" si="39"/>
        <v>0.7</v>
      </c>
      <c r="V72" s="189">
        <f t="shared" ca="1" si="40"/>
        <v>8.7987287355287673</v>
      </c>
      <c r="W72" s="189">
        <f t="shared" ca="1" si="41"/>
        <v>8.7987287355287673</v>
      </c>
      <c r="X72" s="190">
        <f t="shared" ca="1" si="42"/>
        <v>0</v>
      </c>
    </row>
    <row r="73" spans="1:24">
      <c r="A73" s="178">
        <v>24</v>
      </c>
      <c r="B73" s="214">
        <f t="shared" si="23"/>
        <v>4.8333333333333346E-2</v>
      </c>
      <c r="C73" s="180">
        <f t="shared" si="24"/>
        <v>692.13999999885266</v>
      </c>
      <c r="D73" s="181">
        <f t="shared" si="25"/>
        <v>9.5299999999999994</v>
      </c>
      <c r="E73" s="180">
        <f t="shared" si="26"/>
        <v>1.8604596757864</v>
      </c>
      <c r="F73" s="182">
        <f t="shared" ca="1" si="27"/>
        <v>1.2956268467771596E-2</v>
      </c>
      <c r="G73" s="183">
        <f t="shared" ca="1" si="28"/>
        <v>231.24581483495723</v>
      </c>
      <c r="H73" s="184">
        <f t="shared" ca="1" si="29"/>
        <v>1993.9578307401698</v>
      </c>
      <c r="I73" s="184">
        <f t="shared" si="30"/>
        <v>8622.6764024390268</v>
      </c>
      <c r="J73" s="291">
        <f t="shared" ca="1" si="31"/>
        <v>2931118.0111880493</v>
      </c>
      <c r="K73" s="291">
        <f t="shared" si="32"/>
        <v>12675334.311585369</v>
      </c>
      <c r="L73" s="185">
        <f t="shared" si="33"/>
        <v>1.2999999999999999E-3</v>
      </c>
      <c r="M73" s="185">
        <f t="shared" si="43"/>
        <v>28</v>
      </c>
      <c r="N73" s="171">
        <f t="shared" si="34"/>
        <v>0.71119999999885264</v>
      </c>
      <c r="O73" s="187">
        <f t="shared" si="44"/>
        <v>9.5299999999999985E-3</v>
      </c>
      <c r="P73" s="188">
        <f t="shared" si="35"/>
        <v>0.69213999999885267</v>
      </c>
      <c r="Q73" s="215">
        <f t="shared" si="45"/>
        <v>4.8333333333333347E-5</v>
      </c>
      <c r="R73" s="186">
        <f t="shared" si="36"/>
        <v>1020253.4744588957</v>
      </c>
      <c r="S73" s="185">
        <f t="shared" si="37"/>
        <v>700</v>
      </c>
      <c r="T73" s="185">
        <f t="shared" si="38"/>
        <v>1030</v>
      </c>
      <c r="U73" s="171">
        <f t="shared" si="39"/>
        <v>0.7</v>
      </c>
      <c r="V73" s="189">
        <f t="shared" ca="1" si="40"/>
        <v>8.7853694745974025</v>
      </c>
      <c r="W73" s="189">
        <f t="shared" ca="1" si="41"/>
        <v>8.7853694745974025</v>
      </c>
      <c r="X73" s="190">
        <f t="shared" ca="1" si="42"/>
        <v>0</v>
      </c>
    </row>
    <row r="74" spans="1:24">
      <c r="A74" s="199">
        <v>25</v>
      </c>
      <c r="B74" s="216">
        <f t="shared" si="23"/>
        <v>0.05</v>
      </c>
      <c r="C74" s="201">
        <f t="shared" si="24"/>
        <v>692.13999999885266</v>
      </c>
      <c r="D74" s="202">
        <f t="shared" si="25"/>
        <v>9.5299999999999994</v>
      </c>
      <c r="E74" s="201">
        <f t="shared" si="26"/>
        <v>1.8604596757864</v>
      </c>
      <c r="F74" s="203">
        <f t="shared" ca="1" si="27"/>
        <v>1.2995191850899236E-2</v>
      </c>
      <c r="G74" s="204">
        <f t="shared" ca="1" si="28"/>
        <v>231.94052639252286</v>
      </c>
      <c r="H74" s="184">
        <f t="shared" ca="1" si="29"/>
        <v>1999.9481036940924</v>
      </c>
      <c r="I74" s="184">
        <f t="shared" si="30"/>
        <v>8622.6764024390268</v>
      </c>
      <c r="J74" s="292">
        <f t="shared" ca="1" si="31"/>
        <v>2939923.7124303156</v>
      </c>
      <c r="K74" s="292">
        <f t="shared" si="32"/>
        <v>12675334.311585369</v>
      </c>
      <c r="L74" s="205">
        <f t="shared" si="33"/>
        <v>1.2999999999999999E-3</v>
      </c>
      <c r="M74" s="205">
        <f t="shared" si="43"/>
        <v>28</v>
      </c>
      <c r="N74" s="206">
        <f t="shared" si="34"/>
        <v>0.71119999999885264</v>
      </c>
      <c r="O74" s="208">
        <f>wall_yr_25_2/1000</f>
        <v>9.5299999999999985E-3</v>
      </c>
      <c r="P74" s="209">
        <f t="shared" si="35"/>
        <v>0.69213999999885267</v>
      </c>
      <c r="Q74" s="288">
        <f>k_yr_25_2/1000</f>
        <v>5.0000000000000002E-5</v>
      </c>
      <c r="R74" s="207">
        <f t="shared" si="36"/>
        <v>1020253.4744588957</v>
      </c>
      <c r="S74" s="205">
        <f t="shared" si="37"/>
        <v>700</v>
      </c>
      <c r="T74" s="205">
        <f t="shared" si="38"/>
        <v>1030</v>
      </c>
      <c r="U74" s="206">
        <f t="shared" si="39"/>
        <v>0.7</v>
      </c>
      <c r="V74" s="189">
        <f t="shared" ca="1" si="40"/>
        <v>8.7722025760940774</v>
      </c>
      <c r="W74" s="189">
        <f t="shared" ca="1" si="41"/>
        <v>8.7722025760940774</v>
      </c>
      <c r="X74" s="190">
        <f t="shared" ca="1" si="42"/>
        <v>0</v>
      </c>
    </row>
    <row r="75" spans="1:24">
      <c r="A75" s="173"/>
      <c r="J75" s="229">
        <f ca="1">NPV(discount_rate/100,J50:J74)</f>
        <v>25223187.957668371</v>
      </c>
      <c r="K75" s="229">
        <f>NPV(discount_rate/100,K50:K74)</f>
        <v>115054516.79069601</v>
      </c>
    </row>
    <row r="78" spans="1:24">
      <c r="I78" s="217"/>
    </row>
    <row r="79" spans="1:24">
      <c r="B79" s="173"/>
      <c r="C79" s="173"/>
    </row>
  </sheetData>
  <dataValidations disablePrompts="1" count="1">
    <dataValidation type="list" allowBlank="1" showInputMessage="1" showErrorMessage="1" sqref="B18 J18" xr:uid="{C5995896-2F58-7041-847E-1F15BC5773EA}">
      <formula1>$AD$23:$AD$24</formula1>
    </dataValidation>
  </dataValidations>
  <pageMargins left="0.7" right="0.7" top="0.75" bottom="0.75" header="0.3" footer="0.3"/>
  <pageSetup orientation="portrait" horizontalDpi="0" verticalDpi="0"/>
  <ignoredErrors>
    <ignoredError sqref="P48:P73 P23:P46" formula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C17EE-927F-F041-B032-C0FE3D7D286E}">
  <dimension ref="A1:M50"/>
  <sheetViews>
    <sheetView tabSelected="1" topLeftCell="J9" zoomScale="109" zoomScaleNormal="130" workbookViewId="0">
      <selection activeCell="G3" sqref="G3"/>
    </sheetView>
    <sheetView workbookViewId="1"/>
  </sheetViews>
  <sheetFormatPr baseColWidth="10" defaultRowHeight="16"/>
  <cols>
    <col min="1" max="1" width="19.6640625" bestFit="1" customWidth="1"/>
    <col min="2" max="2" width="14.6640625" style="162" bestFit="1" customWidth="1"/>
    <col min="4" max="4" width="17.83203125" bestFit="1" customWidth="1"/>
    <col min="5" max="5" width="18.33203125" customWidth="1"/>
    <col min="6" max="6" width="15" bestFit="1" customWidth="1"/>
    <col min="7" max="7" width="15.33203125" bestFit="1" customWidth="1"/>
    <col min="8" max="8" width="14" bestFit="1" customWidth="1"/>
    <col min="9" max="9" width="27.6640625" bestFit="1" customWidth="1"/>
    <col min="10" max="10" width="19.6640625" bestFit="1" customWidth="1"/>
    <col min="11" max="11" width="11.33203125" bestFit="1" customWidth="1"/>
    <col min="12" max="12" width="28.1640625" bestFit="1" customWidth="1"/>
    <col min="13" max="13" width="20.33203125" customWidth="1"/>
  </cols>
  <sheetData>
    <row r="1" spans="1:13">
      <c r="A1" t="s">
        <v>202</v>
      </c>
      <c r="D1" s="300" t="s">
        <v>189</v>
      </c>
      <c r="E1" s="300" t="s">
        <v>159</v>
      </c>
      <c r="F1" s="300" t="s">
        <v>387</v>
      </c>
      <c r="G1" s="300" t="s">
        <v>39</v>
      </c>
    </row>
    <row r="2" spans="1:13">
      <c r="A2" t="s">
        <v>203</v>
      </c>
      <c r="B2" s="162">
        <f>hrc_price</f>
        <v>625</v>
      </c>
      <c r="C2" t="s">
        <v>386</v>
      </c>
      <c r="D2" s="301" t="s">
        <v>167</v>
      </c>
      <c r="E2" s="302">
        <f>pv_inhibitors</f>
        <v>9475188.9113527965</v>
      </c>
      <c r="F2" s="302"/>
      <c r="G2" s="302">
        <f>E2</f>
        <v>9475188.9113527965</v>
      </c>
      <c r="H2" s="163"/>
    </row>
    <row r="3" spans="1:13">
      <c r="A3" t="s">
        <v>204</v>
      </c>
      <c r="B3" s="162">
        <f>B2</f>
        <v>625</v>
      </c>
      <c r="C3" t="s">
        <v>386</v>
      </c>
      <c r="D3" s="303" t="s">
        <v>169</v>
      </c>
      <c r="E3" s="304">
        <f>capex_steel_bare</f>
        <v>20320061.093199484</v>
      </c>
      <c r="F3" s="304">
        <f>capex_steel_fbe</f>
        <v>14660443.199577643</v>
      </c>
      <c r="G3" s="304">
        <f>E3-F3</f>
        <v>5659617.8936218414</v>
      </c>
      <c r="H3" s="162"/>
    </row>
    <row r="4" spans="1:13">
      <c r="A4" t="s">
        <v>205</v>
      </c>
      <c r="B4" s="162">
        <f>Steel_pipe_transportation</f>
        <v>170</v>
      </c>
      <c r="C4" t="s">
        <v>386</v>
      </c>
      <c r="D4" s="303" t="s">
        <v>370</v>
      </c>
      <c r="E4" s="304"/>
      <c r="F4" s="304">
        <f>field_coating_total</f>
        <v>5834000</v>
      </c>
      <c r="G4" s="304">
        <f>F4</f>
        <v>5834000</v>
      </c>
      <c r="H4" s="163"/>
    </row>
    <row r="5" spans="1:13">
      <c r="B5" s="162">
        <f>SUM(B2:B4)</f>
        <v>1420</v>
      </c>
      <c r="C5" t="s">
        <v>386</v>
      </c>
      <c r="D5" s="305" t="s">
        <v>415</v>
      </c>
      <c r="E5" s="304">
        <f ca="1">bare_friction_energy_PV</f>
        <v>34702858.773614489</v>
      </c>
      <c r="F5" s="304">
        <f ca="1">fbe_friction_energy_PV</f>
        <v>25223187.957668371</v>
      </c>
      <c r="G5" s="304">
        <f ca="1">Charts!$E5-Charts!$F5</f>
        <v>9479670.815946117</v>
      </c>
      <c r="H5" s="163"/>
      <c r="J5" s="323"/>
    </row>
    <row r="6" spans="1:13">
      <c r="D6" s="305" t="s">
        <v>285</v>
      </c>
      <c r="E6" s="304">
        <f>bare_elevation_energy_PV</f>
        <v>115054516.79069601</v>
      </c>
      <c r="F6" s="304">
        <f>fbe_elevation_energy_PV</f>
        <v>115054516.79069601</v>
      </c>
      <c r="G6" s="304"/>
      <c r="H6" s="163"/>
      <c r="J6" s="323"/>
    </row>
    <row r="7" spans="1:13">
      <c r="C7" t="s">
        <v>386</v>
      </c>
      <c r="D7" s="305" t="s">
        <v>168</v>
      </c>
      <c r="E7" s="304">
        <f>bare_inspections_PV</f>
        <v>5083142.4102084404</v>
      </c>
      <c r="F7" s="304">
        <f>fbe_inspections_PV</f>
        <v>2541571.2051042202</v>
      </c>
      <c r="G7" s="304">
        <f>E7-F7</f>
        <v>2541571.2051042202</v>
      </c>
      <c r="H7" s="163"/>
      <c r="J7" s="323"/>
      <c r="K7" s="163" t="s">
        <v>417</v>
      </c>
      <c r="M7" t="s">
        <v>418</v>
      </c>
    </row>
    <row r="8" spans="1:13">
      <c r="D8" s="303" t="s">
        <v>383</v>
      </c>
      <c r="E8" s="304"/>
      <c r="F8" s="304">
        <f>interior_fbe_capex</f>
        <v>761047.67873947392</v>
      </c>
      <c r="G8" s="304">
        <f>F8</f>
        <v>761047.67873947392</v>
      </c>
      <c r="H8" s="323" t="s">
        <v>48</v>
      </c>
      <c r="I8" s="323" t="s">
        <v>12</v>
      </c>
      <c r="K8" t="s">
        <v>48</v>
      </c>
      <c r="L8" t="s">
        <v>12</v>
      </c>
      <c r="M8" t="s">
        <v>39</v>
      </c>
    </row>
    <row r="9" spans="1:13">
      <c r="D9" s="303" t="s">
        <v>186</v>
      </c>
      <c r="E9" s="304">
        <f>Dosage_plant_investment</f>
        <v>272160</v>
      </c>
      <c r="F9" s="304"/>
      <c r="G9" s="304">
        <f>E9</f>
        <v>272160</v>
      </c>
      <c r="H9" s="271">
        <f>E3/1000000</f>
        <v>20.320061093199485</v>
      </c>
      <c r="I9" s="322">
        <f>E2/1000000</f>
        <v>9.4751889113527969</v>
      </c>
      <c r="J9" s="322"/>
      <c r="K9" s="322">
        <f>F3/1000000</f>
        <v>14.660443199577642</v>
      </c>
      <c r="L9" s="322">
        <f ca="1">F5/1000000</f>
        <v>25.223187957668372</v>
      </c>
      <c r="M9" s="322">
        <f ca="1">L9-K9</f>
        <v>10.56274475809073</v>
      </c>
    </row>
    <row r="10" spans="1:13">
      <c r="D10" s="306" t="s">
        <v>61</v>
      </c>
      <c r="E10" s="307">
        <f ca="1">SUBTOTAL(109,Charts!$E$2:$E$9)</f>
        <v>184907927.97907123</v>
      </c>
      <c r="F10" s="307">
        <f ca="1">SUBTOTAL(109,Charts!$F$2:$F$9)</f>
        <v>164074766.83178574</v>
      </c>
      <c r="G10" s="319">
        <f ca="1">1-fbe_total_usd/bare_total_usd</f>
        <v>0.1126677551091454</v>
      </c>
      <c r="H10" s="271">
        <f>E9/1000000</f>
        <v>0.27216000000000001</v>
      </c>
      <c r="I10" s="322">
        <f ca="1">E5/1000000</f>
        <v>34.702858773614487</v>
      </c>
      <c r="J10" s="322"/>
      <c r="K10" s="322">
        <f>F4/1000000</f>
        <v>5.8339999999999996</v>
      </c>
      <c r="L10" s="322">
        <f>F6/1000000</f>
        <v>115.05451679069601</v>
      </c>
    </row>
    <row r="11" spans="1:13">
      <c r="D11" s="308"/>
      <c r="E11" s="309"/>
      <c r="F11" s="309"/>
      <c r="G11" s="309">
        <f ca="1">bare_total_usd-fbe_total_usd</f>
        <v>20833161.147285491</v>
      </c>
      <c r="H11" s="324"/>
      <c r="I11" s="322">
        <f>E6/1000000</f>
        <v>115.05451679069601</v>
      </c>
      <c r="J11" s="322"/>
      <c r="K11" s="322">
        <f>F8/1000000</f>
        <v>0.76104767873947388</v>
      </c>
      <c r="L11" s="322">
        <f>F7/1000000</f>
        <v>2.5415712051042201</v>
      </c>
    </row>
    <row r="12" spans="1:13">
      <c r="D12" s="310"/>
      <c r="E12" s="304"/>
      <c r="F12" s="304"/>
      <c r="G12" s="304"/>
      <c r="H12" s="324"/>
      <c r="I12" s="322">
        <f>E7/1000000</f>
        <v>5.0831424102084402</v>
      </c>
      <c r="J12" s="322"/>
    </row>
    <row r="13" spans="1:13">
      <c r="D13" s="303" t="s">
        <v>274</v>
      </c>
      <c r="E13" s="304">
        <f>SUM(E3,E9,E7)</f>
        <v>25675363.503407925</v>
      </c>
      <c r="F13" s="304">
        <f>SUM(F3,F4,F8)</f>
        <v>21255490.878317118</v>
      </c>
      <c r="G13" s="311">
        <f>1-F13/E13</f>
        <v>0.17214450048600682</v>
      </c>
      <c r="H13" s="322"/>
      <c r="J13" s="322"/>
      <c r="K13" s="322">
        <f>SUM(K9:K11)</f>
        <v>21.255490878317115</v>
      </c>
      <c r="L13" s="322">
        <f ca="1">SUM(L9:L11)</f>
        <v>142.8192759534686</v>
      </c>
    </row>
    <row r="14" spans="1:13">
      <c r="D14" s="305" t="s">
        <v>275</v>
      </c>
      <c r="E14" s="304">
        <f>SUM(E2,E6,E7)</f>
        <v>129612848.11225724</v>
      </c>
      <c r="F14" s="304">
        <f>SUM(F2,F6,F7)</f>
        <v>117596087.99580023</v>
      </c>
      <c r="G14" s="311">
        <f>1-F14/E14</f>
        <v>9.2712723248310591E-2</v>
      </c>
      <c r="H14" s="322">
        <f>SUM(H9:H12)</f>
        <v>20.592221093199484</v>
      </c>
      <c r="I14" s="322">
        <f ca="1">SUM(I9:I12)</f>
        <v>164.31570688587175</v>
      </c>
    </row>
    <row r="15" spans="1:13">
      <c r="A15" t="s">
        <v>206</v>
      </c>
      <c r="D15" s="310"/>
      <c r="E15" s="310"/>
      <c r="F15" s="310"/>
      <c r="G15" s="310"/>
      <c r="H15" s="165"/>
      <c r="I15" s="323"/>
    </row>
    <row r="16" spans="1:13">
      <c r="A16" t="s">
        <v>210</v>
      </c>
      <c r="B16" s="163" t="e">
        <f>FBE_coating_capex</f>
        <v>#NAME?</v>
      </c>
      <c r="D16" s="310"/>
      <c r="E16" s="312"/>
      <c r="F16" s="312"/>
      <c r="G16" s="312"/>
      <c r="H16" s="165"/>
      <c r="I16" s="323" t="str">
        <f>"OPEX [ "&amp;ROUND(I11,2)&amp;" ] "&amp;D6</f>
        <v>OPEX [ 115.05 ] Elevation Energy</v>
      </c>
      <c r="J16" t="str">
        <f>":"&amp;D6&amp;" #197"</f>
        <v>:Elevation Energy #197</v>
      </c>
      <c r="L16" s="323" t="str">
        <f>"OPEX [ "&amp;ROUND(L10,2)&amp;" ] "&amp;D6</f>
        <v>OPEX [ 115.05 ] Elevation Energy</v>
      </c>
      <c r="M16" t="str">
        <f>":"&amp;D6&amp;" #d74"</f>
        <v>:Elevation Energy #d74</v>
      </c>
    </row>
    <row r="17" spans="1:13">
      <c r="A17" t="s">
        <v>208</v>
      </c>
      <c r="B17" s="163" t="e">
        <f>FBE_steel_capex*1000000</f>
        <v>#NAME?</v>
      </c>
      <c r="D17" s="313" t="s">
        <v>189</v>
      </c>
      <c r="E17" s="313" t="s">
        <v>159</v>
      </c>
      <c r="F17" s="313" t="s">
        <v>387</v>
      </c>
      <c r="G17" s="313" t="s">
        <v>39</v>
      </c>
      <c r="H17" s="165"/>
      <c r="I17" t="str">
        <f>J16</f>
        <v>:Elevation Energy #197</v>
      </c>
      <c r="L17" t="str">
        <f>M16</f>
        <v>:Elevation Energy #d74</v>
      </c>
    </row>
    <row r="18" spans="1:13">
      <c r="D18" s="310" t="s">
        <v>384</v>
      </c>
      <c r="E18" s="314">
        <f>pv_inhibitors</f>
        <v>9475188.9113527965</v>
      </c>
      <c r="F18" s="314"/>
      <c r="G18" s="315">
        <v>1</v>
      </c>
      <c r="H18" s="165"/>
      <c r="I18" s="323"/>
    </row>
    <row r="19" spans="1:13">
      <c r="D19" s="310" t="s">
        <v>286</v>
      </c>
      <c r="E19" s="314">
        <f ca="1">G5</f>
        <v>9479670.815946117</v>
      </c>
      <c r="F19" s="314"/>
      <c r="G19" s="315">
        <f ca="1">1-F5/E5</f>
        <v>0.27316685572756805</v>
      </c>
      <c r="H19" s="165"/>
      <c r="I19" s="323" t="s">
        <v>41</v>
      </c>
      <c r="L19" t="s">
        <v>393</v>
      </c>
    </row>
    <row r="20" spans="1:13">
      <c r="D20" s="310" t="s">
        <v>55</v>
      </c>
      <c r="E20" s="314">
        <f>extra_steel</f>
        <v>5659617.8936218414</v>
      </c>
      <c r="F20" s="314"/>
      <c r="G20" s="315">
        <f>1-F3/E3</f>
        <v>0.27852366524212602</v>
      </c>
      <c r="H20" s="165"/>
      <c r="I20" s="323" t="str">
        <f>"CAPEX [ "&amp;ROUND(K9,2)&amp;" ] "&amp;K7</f>
        <v>CAPEX [ 14.66 ] Steel design</v>
      </c>
      <c r="J20" t="str">
        <f>":"&amp;K7&amp;" #d74"</f>
        <v>:Steel design #d74</v>
      </c>
      <c r="L20" s="323" t="str">
        <f>"CAPEX [ "&amp;ROUND(K9,2)&amp;" ] "&amp;D3</f>
        <v>CAPEX [ 14.66 ] Steel</v>
      </c>
      <c r="M20" t="str">
        <f>":"&amp;D3&amp;" #d74"</f>
        <v>:Steel #d74</v>
      </c>
    </row>
    <row r="21" spans="1:13">
      <c r="D21" s="310" t="s">
        <v>385</v>
      </c>
      <c r="E21" s="314"/>
      <c r="F21" s="314">
        <f>field_coating_total</f>
        <v>5834000</v>
      </c>
      <c r="G21" s="315">
        <v>1</v>
      </c>
      <c r="H21" s="166"/>
      <c r="I21" s="323" t="str">
        <f ca="1">"CAPEX [ "&amp;ROUND(M9,2)&amp;" ] "&amp;M7</f>
        <v>CAPEX [ 10.56 ] Steel corrosion</v>
      </c>
      <c r="J21" t="str">
        <f>":"&amp;M7&amp;" #d74"</f>
        <v>:Steel corrosion #d74</v>
      </c>
      <c r="L21" s="323" t="str">
        <f>"CAPEX [ "&amp;ROUND(K10,2)&amp;" ] "&amp;D4</f>
        <v>CAPEX [ 5.83 ] Field Joint Coating</v>
      </c>
      <c r="M21" t="str">
        <f>":"&amp;D4&amp;" #d74"</f>
        <v>:Field Joint Coating #d74</v>
      </c>
    </row>
    <row r="22" spans="1:13">
      <c r="D22" s="310" t="s">
        <v>273</v>
      </c>
      <c r="E22" s="314">
        <f>extra_inspections</f>
        <v>2541571.2051042202</v>
      </c>
      <c r="F22" s="314"/>
      <c r="G22" s="315">
        <f>1-F7/E7</f>
        <v>0.5</v>
      </c>
      <c r="I22" s="323" t="str">
        <f>"CAPEX [ "&amp;ROUND(H10,2)&amp;" ] "&amp;D9</f>
        <v>CAPEX [ 0.27 ] Dosing Plant</v>
      </c>
      <c r="J22" t="str">
        <f>":"&amp;D9&amp;" #d74"</f>
        <v>:Dosing Plant #d74</v>
      </c>
      <c r="L22" s="323" t="str">
        <f>"CAPEX [ "&amp;ROUND(K11,2)&amp;" ] "&amp;D8</f>
        <v>CAPEX [ 0.76 ] Shop Coating</v>
      </c>
      <c r="M22" t="str">
        <f>":"&amp;D8&amp;" #d74"</f>
        <v>:Shop Coating #d74</v>
      </c>
    </row>
    <row r="23" spans="1:13">
      <c r="D23" s="310" t="s">
        <v>383</v>
      </c>
      <c r="E23" s="314"/>
      <c r="F23" s="314">
        <f>interior_fbe_capex</f>
        <v>761047.67873947392</v>
      </c>
      <c r="G23" s="315">
        <v>1</v>
      </c>
      <c r="H23" s="162"/>
      <c r="I23" s="323" t="str">
        <f ca="1">"OPEX [ "&amp;ROUND(I10,2)&amp;" ] "&amp;D5</f>
        <v>OPEX [ 34.7 ] Friction Energy</v>
      </c>
      <c r="J23" t="s">
        <v>416</v>
      </c>
      <c r="L23" s="323" t="str">
        <f ca="1">"OPEX [ "&amp;ROUND(L9,2)&amp;" ] "&amp;D5</f>
        <v>OPEX [ 25.22 ] Friction Energy</v>
      </c>
      <c r="M23" t="str">
        <f>":"&amp;D5&amp;" #d74"</f>
        <v>:Friction Energy #d74</v>
      </c>
    </row>
    <row r="24" spans="1:13">
      <c r="D24" s="310" t="s">
        <v>186</v>
      </c>
      <c r="E24" s="314">
        <f>Dosage_plant_investment</f>
        <v>272160</v>
      </c>
      <c r="F24" s="314"/>
      <c r="G24" s="315">
        <v>1</v>
      </c>
      <c r="I24" s="323" t="str">
        <f>"OPEX [ "&amp;ROUND(I9,2)&amp;" ] "&amp;D2</f>
        <v>OPEX [ 9.48 ] Inhibitors</v>
      </c>
      <c r="J24" t="str">
        <f>":"&amp;D2&amp;" #197"</f>
        <v>:Inhibitors #197</v>
      </c>
      <c r="L24" s="323" t="str">
        <f>"OPEX [ "&amp;ROUND(L11,2)&amp;" ] "&amp;D7</f>
        <v>OPEX [ 2.54 ] Inspections</v>
      </c>
      <c r="M24" t="str">
        <f>":"&amp;D7&amp;" #d74"</f>
        <v>:Inspections #d74</v>
      </c>
    </row>
    <row r="25" spans="1:13">
      <c r="D25" s="316" t="s">
        <v>61</v>
      </c>
      <c r="E25" s="317">
        <f ca="1">SUBTOTAL(109,Charts!$E$18:$E$24)</f>
        <v>27428208.826024976</v>
      </c>
      <c r="F25" s="317">
        <f>SUBTOTAL(109,Charts!$F$18:$F$24)</f>
        <v>6595047.6787394742</v>
      </c>
      <c r="G25" s="318">
        <f ca="1">Charts!$E$25-Charts!$F$25</f>
        <v>20833161.147285502</v>
      </c>
      <c r="I25" s="323" t="str">
        <f>"OPEX [ "&amp;ROUND(I12,2)&amp;" ] "&amp;D7</f>
        <v>OPEX [ 5.08 ] Inspections</v>
      </c>
      <c r="J25" t="str">
        <f>":"&amp;D7&amp;" #197"</f>
        <v>:Inspections #197</v>
      </c>
    </row>
    <row r="26" spans="1:13">
      <c r="E26" s="166"/>
      <c r="F26">
        <f ca="1">diff_total_fbe_usd/diff_total_diff</f>
        <v>0.31656490496636841</v>
      </c>
      <c r="G26" s="281"/>
    </row>
    <row r="27" spans="1:13">
      <c r="I27" t="str">
        <f>J20</f>
        <v>:Steel design #d74</v>
      </c>
      <c r="L27" t="str">
        <f>M20</f>
        <v>:Steel #d74</v>
      </c>
    </row>
    <row r="28" spans="1:13">
      <c r="I28" t="str">
        <f>J21</f>
        <v>:Steel corrosion #d74</v>
      </c>
      <c r="L28" t="str">
        <f>M21</f>
        <v>:Field Joint Coating #d74</v>
      </c>
    </row>
    <row r="29" spans="1:13">
      <c r="A29" t="s">
        <v>211</v>
      </c>
      <c r="I29" t="str">
        <f>J22</f>
        <v>:Dosing Plant #d74</v>
      </c>
      <c r="L29" t="str">
        <f>M22</f>
        <v>:Shop Coating #d74</v>
      </c>
    </row>
    <row r="30" spans="1:13">
      <c r="A30" t="s">
        <v>207</v>
      </c>
      <c r="B30" s="163" t="e">
        <f>FBE_coating_capex</f>
        <v>#NAME?</v>
      </c>
      <c r="I30" t="str">
        <f t="shared" ref="I30:I33" si="0">J23</f>
        <v>:Friction Energy #197</v>
      </c>
      <c r="L30" t="str">
        <f t="shared" ref="L30:L32" si="1">M23</f>
        <v>:Friction Energy #d74</v>
      </c>
    </row>
    <row r="31" spans="1:13">
      <c r="A31" t="s">
        <v>208</v>
      </c>
      <c r="B31" s="163" t="e">
        <f>FBE_steel_capex*1000000</f>
        <v>#NAME?</v>
      </c>
      <c r="I31" t="str">
        <f t="shared" si="0"/>
        <v>:Inhibitors #197</v>
      </c>
      <c r="L31" t="str">
        <f t="shared" si="1"/>
        <v>:Inspections #d74</v>
      </c>
    </row>
    <row r="32" spans="1:13">
      <c r="A32" t="s">
        <v>209</v>
      </c>
      <c r="B32" s="163" t="e">
        <f>robotic_internal_coating_service_CAPEX</f>
        <v>#NAME?</v>
      </c>
      <c r="E32" t="s">
        <v>41</v>
      </c>
      <c r="F32" t="s">
        <v>42</v>
      </c>
      <c r="I32" t="str">
        <f t="shared" si="0"/>
        <v>:Inspections #197</v>
      </c>
      <c r="L32">
        <f t="shared" si="1"/>
        <v>0</v>
      </c>
    </row>
    <row r="33" spans="1:9">
      <c r="D33" t="s">
        <v>48</v>
      </c>
      <c r="E33" s="162">
        <f>SUM(E3:E4,E8:E9)</f>
        <v>20592221.093199484</v>
      </c>
      <c r="F33" s="323"/>
      <c r="I33">
        <f t="shared" si="0"/>
        <v>0</v>
      </c>
    </row>
    <row r="34" spans="1:9">
      <c r="D34" t="s">
        <v>12</v>
      </c>
      <c r="E34" s="162">
        <f ca="1">SUM(E2,E5:E7)</f>
        <v>164315706.88587174</v>
      </c>
      <c r="F34" s="323"/>
    </row>
    <row r="44" spans="1:9">
      <c r="A44" t="s">
        <v>272</v>
      </c>
      <c r="B44" s="162" t="e">
        <f>Electricity_diff_MM*1000000</f>
        <v>#REF!</v>
      </c>
    </row>
    <row r="47" spans="1:9">
      <c r="A47" s="167" t="s">
        <v>280</v>
      </c>
      <c r="B47" s="162" t="s">
        <v>159</v>
      </c>
    </row>
    <row r="48" spans="1:9">
      <c r="A48" s="158" t="s">
        <v>279</v>
      </c>
      <c r="B48" s="169">
        <f>NPV(discount_rate/100,Electricity!K22:K46)</f>
        <v>115054516.79069601</v>
      </c>
    </row>
    <row r="49" spans="1:2">
      <c r="A49" s="158" t="s">
        <v>278</v>
      </c>
      <c r="B49" s="169">
        <f ca="1">NPV(discount_rate/100,Electricity!J22:J46)</f>
        <v>34702858.773614489</v>
      </c>
    </row>
    <row r="50" spans="1:2">
      <c r="A50" s="157"/>
      <c r="B50" s="168">
        <f ca="1">bare_electricity_pv+B48</f>
        <v>149757375.56431049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F056-1796-6147-A203-839FA4B9D3D5}">
  <dimension ref="B1:BD110"/>
  <sheetViews>
    <sheetView zoomScale="150" zoomScaleNormal="190" workbookViewId="0">
      <selection activeCell="E23" sqref="E23"/>
    </sheetView>
    <sheetView workbookViewId="1"/>
  </sheetViews>
  <sheetFormatPr baseColWidth="10" defaultRowHeight="16"/>
  <cols>
    <col min="1" max="1" width="2" style="5" customWidth="1"/>
    <col min="2" max="2" width="49.83203125" style="106" bestFit="1" customWidth="1"/>
    <col min="3" max="3" width="12.6640625" style="107" bestFit="1" customWidth="1"/>
    <col min="4" max="4" width="14.5" style="107" bestFit="1" customWidth="1"/>
    <col min="5" max="5" width="11" style="107" customWidth="1"/>
    <col min="6" max="6" width="5.33203125" style="5" customWidth="1"/>
    <col min="7" max="7" width="12.6640625" style="4" customWidth="1"/>
    <col min="8" max="9" width="12.6640625" style="5" customWidth="1"/>
    <col min="10" max="10" width="10.6640625" style="5" customWidth="1"/>
    <col min="11" max="11" width="10.6640625" style="44" customWidth="1"/>
    <col min="12" max="12" width="13" style="5" customWidth="1"/>
    <col min="13" max="13" width="12.83203125" style="5" customWidth="1"/>
    <col min="14" max="14" width="9.5" style="5" customWidth="1"/>
    <col min="15" max="15" width="10.33203125" style="5" customWidth="1"/>
    <col min="16" max="16" width="9.6640625" style="5" bestFit="1" customWidth="1"/>
    <col min="17" max="17" width="15.33203125" style="59" customWidth="1"/>
    <col min="18" max="18" width="9.5" style="5" bestFit="1" customWidth="1"/>
    <col min="19" max="19" width="8.83203125" style="62" customWidth="1"/>
    <col min="20" max="20" width="8.83203125" style="5" customWidth="1"/>
    <col min="21" max="21" width="11.83203125" style="4" customWidth="1"/>
    <col min="22" max="22" width="21.5" style="4" customWidth="1"/>
    <col min="23" max="23" width="14.83203125" style="4" customWidth="1"/>
    <col min="24" max="40" width="11.83203125" style="4" customWidth="1"/>
    <col min="41" max="41" width="3.83203125" style="5" customWidth="1"/>
    <col min="42" max="42" width="33.5" style="5" bestFit="1" customWidth="1"/>
    <col min="43" max="43" width="20.83203125" style="5" customWidth="1"/>
    <col min="44" max="44" width="26.5" style="5" bestFit="1" customWidth="1"/>
    <col min="45" max="45" width="9.1640625" style="5" bestFit="1" customWidth="1"/>
    <col min="46" max="47" width="10.83203125" style="5"/>
    <col min="48" max="49" width="11" style="5" bestFit="1" customWidth="1"/>
    <col min="50" max="50" width="34.83203125" style="5" bestFit="1" customWidth="1"/>
    <col min="51" max="51" width="11" style="5" bestFit="1" customWidth="1"/>
    <col min="52" max="53" width="10.83203125" style="5"/>
    <col min="54" max="58" width="11.1640625" style="5" customWidth="1"/>
    <col min="59" max="59" width="11.83203125" style="5" customWidth="1"/>
    <col min="60" max="61" width="11.1640625" style="5" customWidth="1"/>
    <col min="62" max="62" width="9.1640625" style="5" bestFit="1" customWidth="1"/>
    <col min="63" max="63" width="12.5" style="5" customWidth="1"/>
    <col min="64" max="64" width="10.83203125" style="5"/>
    <col min="65" max="65" width="13.1640625" style="5" bestFit="1" customWidth="1"/>
    <col min="66" max="66" width="12.6640625" style="5" bestFit="1" customWidth="1"/>
    <col min="67" max="16384" width="10.83203125" style="5"/>
  </cols>
  <sheetData>
    <row r="1" spans="2:56">
      <c r="B1" s="331"/>
      <c r="C1" s="331"/>
      <c r="D1" s="331"/>
      <c r="E1" s="115"/>
      <c r="F1" s="2"/>
      <c r="H1" s="2" t="e">
        <f>Flow_rate_m3_s</f>
        <v>#NAME?</v>
      </c>
      <c r="I1" s="3">
        <v>3.1250000000000023E-3</v>
      </c>
      <c r="J1" s="2"/>
      <c r="L1" s="2"/>
      <c r="M1" s="2"/>
      <c r="N1" s="2"/>
      <c r="O1" s="2"/>
      <c r="P1" s="2"/>
      <c r="R1" s="2"/>
      <c r="T1" s="2"/>
      <c r="AO1" s="1"/>
      <c r="AP1" s="1"/>
      <c r="BB1" s="6"/>
    </row>
    <row r="2" spans="2:56">
      <c r="B2" s="106" t="s">
        <v>77</v>
      </c>
      <c r="C2" s="106" t="s">
        <v>78</v>
      </c>
      <c r="D2" s="107" t="s">
        <v>76</v>
      </c>
      <c r="E2" s="116"/>
      <c r="F2" s="7" t="s">
        <v>0</v>
      </c>
      <c r="H2" s="3"/>
      <c r="J2" s="3"/>
      <c r="L2" s="3"/>
      <c r="M2" s="3"/>
      <c r="N2" s="3"/>
      <c r="O2" s="3"/>
      <c r="P2" s="3"/>
      <c r="R2" s="3"/>
      <c r="T2" s="3"/>
      <c r="AO2" s="7"/>
      <c r="AP2" s="7"/>
      <c r="BB2" s="6"/>
    </row>
    <row r="3" spans="2:56">
      <c r="B3" s="106" t="s">
        <v>70</v>
      </c>
      <c r="C3" s="110">
        <v>70000</v>
      </c>
      <c r="D3" s="107" t="s">
        <v>14</v>
      </c>
      <c r="E3" s="159" t="e">
        <f>pipeline_length_m</f>
        <v>#NAME?</v>
      </c>
      <c r="F3" s="8" t="s">
        <v>3</v>
      </c>
      <c r="G3" s="4" t="s">
        <v>13</v>
      </c>
      <c r="H3" s="8" t="s">
        <v>158</v>
      </c>
      <c r="I3" s="9" t="s">
        <v>6</v>
      </c>
      <c r="J3" s="8" t="s">
        <v>8</v>
      </c>
      <c r="K3" s="44" t="s">
        <v>157</v>
      </c>
      <c r="L3" s="8" t="s">
        <v>10</v>
      </c>
      <c r="M3" s="8" t="s">
        <v>11</v>
      </c>
      <c r="N3" s="8" t="s">
        <v>12</v>
      </c>
      <c r="O3" s="8" t="s">
        <v>39</v>
      </c>
      <c r="P3" s="8" t="s">
        <v>4</v>
      </c>
      <c r="Q3" s="59" t="s">
        <v>156</v>
      </c>
      <c r="R3" s="8" t="s">
        <v>7</v>
      </c>
      <c r="S3" s="62" t="s">
        <v>9</v>
      </c>
      <c r="T3" s="8" t="s">
        <v>154</v>
      </c>
      <c r="U3" s="76" t="s">
        <v>5</v>
      </c>
      <c r="V3" s="76" t="s">
        <v>10</v>
      </c>
      <c r="BB3" s="6"/>
    </row>
    <row r="4" spans="2:56">
      <c r="B4" s="106" t="s">
        <v>35</v>
      </c>
      <c r="C4" s="107">
        <v>12</v>
      </c>
      <c r="D4" s="107" t="s">
        <v>14</v>
      </c>
      <c r="F4" s="64">
        <v>1</v>
      </c>
      <c r="G4" s="65">
        <f t="shared" ref="G4:G28" si="0">P4*1000</f>
        <v>692.14</v>
      </c>
      <c r="H4" s="66" t="e">
        <f t="shared" ref="H4:H28" si="1">Flow_rate_m3_s/(PI()*(P4/2)^2)</f>
        <v>#NAME?</v>
      </c>
      <c r="I4" s="67">
        <f>roughness_fbe_pipe</f>
        <v>0.01</v>
      </c>
      <c r="J4" s="83">
        <v>1.1940896486263598E-2</v>
      </c>
      <c r="K4" s="68" t="e">
        <f t="shared" ref="K4:K28" si="2">P4*H4/v_kinematic_viscosity</f>
        <v>#NAME?</v>
      </c>
      <c r="L4" s="102" t="e">
        <f t="shared" ref="L4:L28" si="3">J4*pipeline_length_m/(P4)*H4^2/(2*grav_accel)</f>
        <v>#NAME?</v>
      </c>
      <c r="M4" s="70" t="e">
        <f t="shared" ref="M4:M28" si="4">water_density*grav_accel*Flow_rate_m3_s*(L4+Elevation_change_m)/(pump_efficiency)/1000</f>
        <v>#NAME?</v>
      </c>
      <c r="N4" s="72" t="e">
        <f t="shared" ref="N4:N28" si="5">M4*annual_operation_h*Energy_cost/1000000</f>
        <v>#NAME?</v>
      </c>
      <c r="O4" s="74" t="e">
        <f>(N32-N4)*1000000</f>
        <v>#NAME?</v>
      </c>
      <c r="P4" s="59">
        <f>C41</f>
        <v>0.69213999999999998</v>
      </c>
      <c r="Q4" s="60">
        <v>-1.8889570507669984E-5</v>
      </c>
      <c r="R4" s="58" t="e">
        <f t="shared" ref="R4:R28" si="6">1/SQRT(J4)+2*LOG10(((I4/1000)/(3.7*P4))+(2.51/(P4*H4/v_kinematic_viscosity*SQRT(J4))))</f>
        <v>#NAME?</v>
      </c>
      <c r="S4" s="63" t="e">
        <f t="shared" ref="S4:S28" si="7">0.25/(LOG10((I4/1000/(3.7*P4))+(5.74/((P4*H4/v_kinematic_viscosity)^0.9)))^2)-Q4</f>
        <v>#NAME?</v>
      </c>
      <c r="T4" s="57" t="e">
        <f t="shared" ref="T4:T28" si="8">S4-J4</f>
        <v>#NAME?</v>
      </c>
      <c r="U4" s="75" t="e">
        <f>Table5[[#This Row],[Flow Velocity]]</f>
        <v>#NAME?</v>
      </c>
      <c r="V4" s="77" t="e">
        <f>Table5[[#This Row],[Friction Head Loss]]</f>
        <v>#NAME?</v>
      </c>
    </row>
    <row r="5" spans="2:56">
      <c r="B5" s="106" t="s">
        <v>23</v>
      </c>
      <c r="C5" s="107">
        <v>28</v>
      </c>
      <c r="D5" s="107" t="s">
        <v>24</v>
      </c>
      <c r="F5" s="64">
        <v>2</v>
      </c>
      <c r="G5" s="65">
        <f t="shared" si="0"/>
        <v>692.14</v>
      </c>
      <c r="H5" s="66" t="e">
        <f t="shared" si="1"/>
        <v>#NAME?</v>
      </c>
      <c r="I5" s="42">
        <f>I4+$I$29</f>
        <v>1.1666666666666667E-2</v>
      </c>
      <c r="J5" s="83">
        <v>1.1987343944497348E-2</v>
      </c>
      <c r="K5" s="68" t="e">
        <f t="shared" si="2"/>
        <v>#NAME?</v>
      </c>
      <c r="L5" s="69" t="e">
        <f t="shared" si="3"/>
        <v>#NAME?</v>
      </c>
      <c r="M5" s="70" t="e">
        <f t="shared" si="4"/>
        <v>#NAME?</v>
      </c>
      <c r="N5" s="72" t="e">
        <f t="shared" si="5"/>
        <v>#NAME?</v>
      </c>
      <c r="O5" s="74" t="e">
        <f t="shared" ref="O5:O28" si="9">(N33-N5)*1000000</f>
        <v>#NAME?</v>
      </c>
      <c r="P5" s="59">
        <f t="shared" ref="P5:P28" si="10">P4</f>
        <v>0.69213999999999998</v>
      </c>
      <c r="Q5" s="60">
        <v>-9.9660942721284396E-6</v>
      </c>
      <c r="R5" s="58" t="e">
        <f t="shared" si="6"/>
        <v>#NAME?</v>
      </c>
      <c r="S5" s="63" t="e">
        <f t="shared" si="7"/>
        <v>#NAME?</v>
      </c>
      <c r="T5" s="57" t="e">
        <f t="shared" si="8"/>
        <v>#NAME?</v>
      </c>
      <c r="U5" s="75" t="e">
        <f>Table5[[#This Row],[Flow Velocity]]</f>
        <v>#NAME?</v>
      </c>
      <c r="V5" s="77" t="e">
        <f>Table5[[#This Row],[Friction Head Loss]]</f>
        <v>#NAME?</v>
      </c>
      <c r="BB5" s="6"/>
    </row>
    <row r="6" spans="2:56">
      <c r="B6" s="106" t="s">
        <v>289</v>
      </c>
      <c r="C6" s="110">
        <v>7850</v>
      </c>
      <c r="D6" s="107" t="s">
        <v>22</v>
      </c>
      <c r="F6" s="64">
        <v>3</v>
      </c>
      <c r="G6" s="65">
        <f t="shared" si="0"/>
        <v>692.14</v>
      </c>
      <c r="H6" s="66" t="e">
        <f t="shared" si="1"/>
        <v>#NAME?</v>
      </c>
      <c r="I6" s="42">
        <f t="shared" ref="I6:I27" si="11">I5+$I$29</f>
        <v>1.3333333333333334E-2</v>
      </c>
      <c r="J6" s="83">
        <v>1.2034029823228801E-2</v>
      </c>
      <c r="K6" s="68" t="e">
        <f t="shared" si="2"/>
        <v>#NAME?</v>
      </c>
      <c r="L6" s="69" t="e">
        <f t="shared" si="3"/>
        <v>#NAME?</v>
      </c>
      <c r="M6" s="70" t="e">
        <f t="shared" si="4"/>
        <v>#NAME?</v>
      </c>
      <c r="N6" s="72" t="e">
        <f t="shared" si="5"/>
        <v>#NAME?</v>
      </c>
      <c r="O6" s="74" t="e">
        <f t="shared" si="9"/>
        <v>#NAME?</v>
      </c>
      <c r="P6" s="59">
        <f t="shared" si="10"/>
        <v>0.69213999999999998</v>
      </c>
      <c r="Q6" s="60">
        <v>-2.2270988084185234E-6</v>
      </c>
      <c r="R6" s="58" t="e">
        <f t="shared" si="6"/>
        <v>#NAME?</v>
      </c>
      <c r="S6" s="63" t="e">
        <f t="shared" si="7"/>
        <v>#NAME?</v>
      </c>
      <c r="T6" s="57" t="e">
        <f t="shared" si="8"/>
        <v>#NAME?</v>
      </c>
      <c r="U6" s="75" t="e">
        <f>Table5[[#This Row],[Flow Velocity]]</f>
        <v>#NAME?</v>
      </c>
      <c r="V6" s="77" t="e">
        <f>Table5[[#This Row],[Friction Head Loss]]</f>
        <v>#NAME?</v>
      </c>
      <c r="BB6" s="6"/>
      <c r="BC6" s="10"/>
    </row>
    <row r="7" spans="2:56">
      <c r="B7" s="106" t="s">
        <v>290</v>
      </c>
      <c r="C7" s="107">
        <v>625</v>
      </c>
      <c r="D7" s="107" t="s">
        <v>114</v>
      </c>
      <c r="F7" s="64">
        <v>4</v>
      </c>
      <c r="G7" s="65">
        <f t="shared" si="0"/>
        <v>692.14</v>
      </c>
      <c r="H7" s="66" t="e">
        <f t="shared" si="1"/>
        <v>#NAME?</v>
      </c>
      <c r="I7" s="42">
        <f t="shared" si="11"/>
        <v>1.5000000000000001E-2</v>
      </c>
      <c r="J7" s="83">
        <v>1.2080522581878314E-2</v>
      </c>
      <c r="K7" s="68" t="e">
        <f t="shared" si="2"/>
        <v>#NAME?</v>
      </c>
      <c r="L7" s="69" t="e">
        <f t="shared" si="3"/>
        <v>#NAME?</v>
      </c>
      <c r="M7" s="70" t="e">
        <f t="shared" si="4"/>
        <v>#NAME?</v>
      </c>
      <c r="N7" s="72" t="e">
        <f t="shared" si="5"/>
        <v>#NAME?</v>
      </c>
      <c r="O7" s="74" t="e">
        <f t="shared" si="9"/>
        <v>#NAME?</v>
      </c>
      <c r="P7" s="59">
        <f t="shared" si="10"/>
        <v>0.69213999999999998</v>
      </c>
      <c r="Q7" s="60">
        <v>4.7976461896373501E-6</v>
      </c>
      <c r="R7" s="58" t="e">
        <f t="shared" si="6"/>
        <v>#NAME?</v>
      </c>
      <c r="S7" s="63" t="e">
        <f t="shared" si="7"/>
        <v>#NAME?</v>
      </c>
      <c r="T7" s="57" t="e">
        <f t="shared" si="8"/>
        <v>#NAME?</v>
      </c>
      <c r="U7" s="75" t="e">
        <f>Table5[[#This Row],[Flow Velocity]]</f>
        <v>#NAME?</v>
      </c>
      <c r="V7" s="77" t="e">
        <f>Table5[[#This Row],[Friction Head Loss]]</f>
        <v>#NAME?</v>
      </c>
      <c r="BB7" s="6"/>
    </row>
    <row r="8" spans="2:56">
      <c r="B8" s="106" t="s">
        <v>40</v>
      </c>
      <c r="C8" s="107">
        <v>9.5299999999999994</v>
      </c>
      <c r="D8" s="107" t="s">
        <v>27</v>
      </c>
      <c r="F8" s="64">
        <v>5</v>
      </c>
      <c r="G8" s="65">
        <f t="shared" si="0"/>
        <v>692.14</v>
      </c>
      <c r="H8" s="66" t="e">
        <f t="shared" si="1"/>
        <v>#NAME?</v>
      </c>
      <c r="I8" s="42">
        <f t="shared" si="11"/>
        <v>1.6666666666666666E-2</v>
      </c>
      <c r="J8" s="83">
        <v>1.2126774568798019E-2</v>
      </c>
      <c r="K8" s="68" t="e">
        <f t="shared" si="2"/>
        <v>#NAME?</v>
      </c>
      <c r="L8" s="69" t="e">
        <f t="shared" si="3"/>
        <v>#NAME?</v>
      </c>
      <c r="M8" s="70" t="e">
        <f t="shared" si="4"/>
        <v>#NAME?</v>
      </c>
      <c r="N8" s="72" t="e">
        <f t="shared" si="5"/>
        <v>#NAME?</v>
      </c>
      <c r="O8" s="74" t="e">
        <f t="shared" si="9"/>
        <v>#NAME?</v>
      </c>
      <c r="P8" s="59">
        <f t="shared" si="10"/>
        <v>0.69213999999999998</v>
      </c>
      <c r="Q8" s="60">
        <v>1.1192044719244079E-5</v>
      </c>
      <c r="R8" s="58" t="e">
        <f t="shared" si="6"/>
        <v>#NAME?</v>
      </c>
      <c r="S8" s="63" t="e">
        <f t="shared" si="7"/>
        <v>#NAME?</v>
      </c>
      <c r="T8" s="57" t="e">
        <f t="shared" si="8"/>
        <v>#NAME?</v>
      </c>
      <c r="U8" s="75" t="e">
        <f>Table5[[#This Row],[Flow Velocity]]</f>
        <v>#NAME?</v>
      </c>
      <c r="V8" s="77" t="e">
        <f>Table5[[#This Row],[Friction Head Loss]]</f>
        <v>#NAME?</v>
      </c>
      <c r="BB8" s="6"/>
    </row>
    <row r="9" spans="2:56">
      <c r="B9" s="106" t="s">
        <v>37</v>
      </c>
      <c r="C9" s="107">
        <v>0.2</v>
      </c>
      <c r="D9" s="107" t="s">
        <v>38</v>
      </c>
      <c r="E9" s="107">
        <f>wall_thickness_mm+corrosion_rate_mm_yr*Service_life_yr</f>
        <v>14.53</v>
      </c>
      <c r="F9" s="64">
        <v>6</v>
      </c>
      <c r="G9" s="65">
        <f t="shared" si="0"/>
        <v>692.14</v>
      </c>
      <c r="H9" s="66" t="e">
        <f t="shared" si="1"/>
        <v>#NAME?</v>
      </c>
      <c r="I9" s="42">
        <f t="shared" si="11"/>
        <v>1.8333333333333333E-2</v>
      </c>
      <c r="J9" s="83">
        <v>1.2172747981287211E-2</v>
      </c>
      <c r="K9" s="68" t="e">
        <f t="shared" si="2"/>
        <v>#NAME?</v>
      </c>
      <c r="L9" s="69" t="e">
        <f t="shared" si="3"/>
        <v>#NAME?</v>
      </c>
      <c r="M9" s="70" t="e">
        <f t="shared" si="4"/>
        <v>#NAME?</v>
      </c>
      <c r="N9" s="72" t="e">
        <f t="shared" si="5"/>
        <v>#NAME?</v>
      </c>
      <c r="O9" s="74" t="e">
        <f t="shared" si="9"/>
        <v>#NAME?</v>
      </c>
      <c r="P9" s="59">
        <f t="shared" si="10"/>
        <v>0.69213999999999998</v>
      </c>
      <c r="Q9" s="60">
        <v>1.70279192411079E-5</v>
      </c>
      <c r="R9" s="58" t="e">
        <f t="shared" si="6"/>
        <v>#NAME?</v>
      </c>
      <c r="S9" s="63" t="e">
        <f t="shared" si="7"/>
        <v>#NAME?</v>
      </c>
      <c r="T9" s="57" t="e">
        <f t="shared" si="8"/>
        <v>#NAME?</v>
      </c>
      <c r="U9" s="75" t="e">
        <f>Table5[[#This Row],[Flow Velocity]]</f>
        <v>#NAME?</v>
      </c>
      <c r="V9" s="77" t="e">
        <f>Table5[[#This Row],[Friction Head Loss]]</f>
        <v>#NAME?</v>
      </c>
    </row>
    <row r="10" spans="2:56">
      <c r="B10" s="106" t="s">
        <v>74</v>
      </c>
      <c r="C10" s="107">
        <v>0.1</v>
      </c>
      <c r="D10" s="107" t="s">
        <v>27</v>
      </c>
      <c r="F10" s="64">
        <v>7</v>
      </c>
      <c r="G10" s="65">
        <f t="shared" si="0"/>
        <v>692.14</v>
      </c>
      <c r="H10" s="66" t="e">
        <f t="shared" si="1"/>
        <v>#NAME?</v>
      </c>
      <c r="I10" s="42">
        <f t="shared" si="11"/>
        <v>0.02</v>
      </c>
      <c r="J10" s="83">
        <v>1.221841300493387E-2</v>
      </c>
      <c r="K10" s="68" t="e">
        <f t="shared" si="2"/>
        <v>#NAME?</v>
      </c>
      <c r="L10" s="69" t="e">
        <f t="shared" si="3"/>
        <v>#NAME?</v>
      </c>
      <c r="M10" s="70" t="e">
        <f t="shared" si="4"/>
        <v>#NAME?</v>
      </c>
      <c r="N10" s="72" t="e">
        <f t="shared" si="5"/>
        <v>#NAME?</v>
      </c>
      <c r="O10" s="74" t="e">
        <f t="shared" si="9"/>
        <v>#NAME?</v>
      </c>
      <c r="P10" s="59">
        <f t="shared" si="10"/>
        <v>0.69213999999999998</v>
      </c>
      <c r="Q10" s="60">
        <v>2.2367054810366882E-5</v>
      </c>
      <c r="R10" s="58" t="e">
        <f t="shared" si="6"/>
        <v>#NAME?</v>
      </c>
      <c r="S10" s="63" t="e">
        <f t="shared" si="7"/>
        <v>#NAME?</v>
      </c>
      <c r="T10" s="57" t="e">
        <f t="shared" si="8"/>
        <v>#NAME?</v>
      </c>
      <c r="U10" s="75" t="e">
        <f>Table5[[#This Row],[Flow Velocity]]</f>
        <v>#NAME?</v>
      </c>
      <c r="V10" s="77" t="e">
        <f>Table5[[#This Row],[Friction Head Loss]]</f>
        <v>#NAME?</v>
      </c>
    </row>
    <row r="11" spans="2:56">
      <c r="B11" s="106" t="s">
        <v>75</v>
      </c>
      <c r="C11" s="107">
        <v>0.3</v>
      </c>
      <c r="D11" s="107" t="s">
        <v>27</v>
      </c>
      <c r="F11" s="64">
        <v>8</v>
      </c>
      <c r="G11" s="65">
        <f t="shared" si="0"/>
        <v>692.14</v>
      </c>
      <c r="H11" s="66" t="e">
        <f t="shared" si="1"/>
        <v>#NAME?</v>
      </c>
      <c r="I11" s="42">
        <f t="shared" si="11"/>
        <v>2.1666666666666667E-2</v>
      </c>
      <c r="J11" s="83">
        <v>1.2263746328054966E-2</v>
      </c>
      <c r="K11" s="68" t="e">
        <f t="shared" si="2"/>
        <v>#NAME?</v>
      </c>
      <c r="L11" s="69" t="e">
        <f t="shared" si="3"/>
        <v>#NAME?</v>
      </c>
      <c r="M11" s="70" t="e">
        <f t="shared" si="4"/>
        <v>#NAME?</v>
      </c>
      <c r="N11" s="72" t="e">
        <f t="shared" si="5"/>
        <v>#NAME?</v>
      </c>
      <c r="O11" s="74" t="e">
        <f t="shared" si="9"/>
        <v>#NAME?</v>
      </c>
      <c r="P11" s="59">
        <f t="shared" si="10"/>
        <v>0.69213999999999998</v>
      </c>
      <c r="Q11" s="60">
        <v>2.7262849420910465E-5</v>
      </c>
      <c r="R11" s="58" t="e">
        <f t="shared" si="6"/>
        <v>#NAME?</v>
      </c>
      <c r="S11" s="63" t="e">
        <f t="shared" si="7"/>
        <v>#NAME?</v>
      </c>
      <c r="T11" s="57" t="e">
        <f t="shared" si="8"/>
        <v>#NAME?</v>
      </c>
      <c r="U11" s="75" t="e">
        <f>Table5[[#This Row],[Flow Velocity]]</f>
        <v>#NAME?</v>
      </c>
      <c r="V11" s="77" t="e">
        <f>Table5[[#This Row],[Friction Head Loss]]</f>
        <v>#NAME?</v>
      </c>
    </row>
    <row r="12" spans="2:56">
      <c r="B12" s="106" t="s">
        <v>72</v>
      </c>
      <c r="C12" s="107">
        <v>0.01</v>
      </c>
      <c r="D12" s="107" t="s">
        <v>27</v>
      </c>
      <c r="E12" s="107">
        <f>roughness_fbe_pipe/1000</f>
        <v>1.0000000000000001E-5</v>
      </c>
      <c r="F12" s="64">
        <v>9</v>
      </c>
      <c r="G12" s="65">
        <f t="shared" si="0"/>
        <v>692.14</v>
      </c>
      <c r="H12" s="66" t="e">
        <f t="shared" si="1"/>
        <v>#NAME?</v>
      </c>
      <c r="I12" s="42">
        <f t="shared" si="11"/>
        <v>2.3333333333333334E-2</v>
      </c>
      <c r="J12" s="83">
        <v>1.2308729949136153E-2</v>
      </c>
      <c r="K12" s="68" t="e">
        <f t="shared" si="2"/>
        <v>#NAME?</v>
      </c>
      <c r="L12" s="69" t="e">
        <f t="shared" si="3"/>
        <v>#NAME?</v>
      </c>
      <c r="M12" s="70" t="e">
        <f t="shared" si="4"/>
        <v>#NAME?</v>
      </c>
      <c r="N12" s="72" t="e">
        <f t="shared" si="5"/>
        <v>#NAME?</v>
      </c>
      <c r="O12" s="74" t="e">
        <f t="shared" si="9"/>
        <v>#NAME?</v>
      </c>
      <c r="P12" s="59">
        <f t="shared" si="10"/>
        <v>0.69213999999999998</v>
      </c>
      <c r="Q12" s="60">
        <v>3.1761654917921919E-5</v>
      </c>
      <c r="R12" s="58" t="e">
        <f t="shared" si="6"/>
        <v>#NAME?</v>
      </c>
      <c r="S12" s="63" t="e">
        <f t="shared" si="7"/>
        <v>#NAME?</v>
      </c>
      <c r="T12" s="57" t="e">
        <f t="shared" si="8"/>
        <v>#NAME?</v>
      </c>
      <c r="U12" s="75" t="e">
        <f>Table5[[#This Row],[Flow Velocity]]</f>
        <v>#NAME?</v>
      </c>
      <c r="V12" s="77" t="e">
        <f>Table5[[#This Row],[Friction Head Loss]]</f>
        <v>#NAME?</v>
      </c>
    </row>
    <row r="13" spans="2:56">
      <c r="B13" s="106" t="s">
        <v>73</v>
      </c>
      <c r="C13" s="107">
        <v>0.05</v>
      </c>
      <c r="D13" s="107" t="s">
        <v>27</v>
      </c>
      <c r="F13" s="64">
        <v>10</v>
      </c>
      <c r="G13" s="65">
        <f t="shared" si="0"/>
        <v>692.14</v>
      </c>
      <c r="H13" s="66" t="e">
        <f t="shared" si="1"/>
        <v>#NAME?</v>
      </c>
      <c r="I13" s="42">
        <f t="shared" si="11"/>
        <v>2.5000000000000001E-2</v>
      </c>
      <c r="J13" s="83">
        <v>1.2353350214582046E-2</v>
      </c>
      <c r="K13" s="68" t="e">
        <f t="shared" si="2"/>
        <v>#NAME?</v>
      </c>
      <c r="L13" s="69" t="e">
        <f t="shared" si="3"/>
        <v>#NAME?</v>
      </c>
      <c r="M13" s="70" t="e">
        <f t="shared" si="4"/>
        <v>#NAME?</v>
      </c>
      <c r="N13" s="72" t="e">
        <f t="shared" si="5"/>
        <v>#NAME?</v>
      </c>
      <c r="O13" s="74" t="e">
        <f t="shared" si="9"/>
        <v>#NAME?</v>
      </c>
      <c r="P13" s="59">
        <f t="shared" si="10"/>
        <v>0.69213999999999998</v>
      </c>
      <c r="Q13" s="60">
        <v>3.5903873110046391E-5</v>
      </c>
      <c r="R13" s="58" t="e">
        <f t="shared" si="6"/>
        <v>#NAME?</v>
      </c>
      <c r="S13" s="63" t="e">
        <f t="shared" si="7"/>
        <v>#NAME?</v>
      </c>
      <c r="T13" s="57" t="e">
        <f t="shared" si="8"/>
        <v>#NAME?</v>
      </c>
      <c r="U13" s="75" t="e">
        <f>Table5[[#This Row],[Flow Velocity]]</f>
        <v>#NAME?</v>
      </c>
      <c r="V13" s="77" t="e">
        <f>Table5[[#This Row],[Friction Head Loss]]</f>
        <v>#NAME?</v>
      </c>
    </row>
    <row r="14" spans="2:56">
      <c r="B14" s="106" t="s">
        <v>21</v>
      </c>
      <c r="C14" s="107">
        <v>1030</v>
      </c>
      <c r="D14" s="107" t="s">
        <v>22</v>
      </c>
      <c r="F14" s="64">
        <v>11</v>
      </c>
      <c r="G14" s="65">
        <f t="shared" si="0"/>
        <v>692.14</v>
      </c>
      <c r="H14" s="66" t="e">
        <f t="shared" si="1"/>
        <v>#NAME?</v>
      </c>
      <c r="I14" s="42">
        <f t="shared" si="11"/>
        <v>2.6666666666666668E-2</v>
      </c>
      <c r="J14" s="83">
        <v>1.2397045438482338E-2</v>
      </c>
      <c r="K14" s="68" t="e">
        <f t="shared" si="2"/>
        <v>#NAME?</v>
      </c>
      <c r="L14" s="69" t="e">
        <f t="shared" si="3"/>
        <v>#NAME?</v>
      </c>
      <c r="M14" s="70" t="e">
        <f t="shared" si="4"/>
        <v>#NAME?</v>
      </c>
      <c r="N14" s="72" t="e">
        <f t="shared" si="5"/>
        <v>#NAME?</v>
      </c>
      <c r="O14" s="74" t="e">
        <f t="shared" si="9"/>
        <v>#NAME?</v>
      </c>
      <c r="P14" s="59">
        <f t="shared" si="10"/>
        <v>0.69213999999999998</v>
      </c>
      <c r="Q14" s="60">
        <v>4.0276457054237019E-5</v>
      </c>
      <c r="R14" s="58" t="e">
        <f t="shared" si="6"/>
        <v>#NAME?</v>
      </c>
      <c r="S14" s="63" t="e">
        <f t="shared" si="7"/>
        <v>#NAME?</v>
      </c>
      <c r="T14" s="57" t="e">
        <f t="shared" si="8"/>
        <v>#NAME?</v>
      </c>
      <c r="U14" s="75" t="e">
        <f>Table5[[#This Row],[Flow Velocity]]</f>
        <v>#NAME?</v>
      </c>
      <c r="V14" s="77" t="e">
        <f>Table5[[#This Row],[Friction Head Loss]]</f>
        <v>#NAME?</v>
      </c>
      <c r="AP14" s="2"/>
    </row>
    <row r="15" spans="2:56">
      <c r="B15" s="106" t="s">
        <v>261</v>
      </c>
      <c r="C15" s="107">
        <f>dynamic_viscosity_of_water_cP/1000</f>
        <v>1.2999999999999999E-3</v>
      </c>
      <c r="D15" s="107" t="s">
        <v>219</v>
      </c>
      <c r="F15" s="64">
        <v>12</v>
      </c>
      <c r="G15" s="65">
        <f t="shared" si="0"/>
        <v>692.14</v>
      </c>
      <c r="H15" s="66" t="e">
        <f t="shared" si="1"/>
        <v>#NAME?</v>
      </c>
      <c r="I15" s="42">
        <f t="shared" si="11"/>
        <v>2.8333333333333335E-2</v>
      </c>
      <c r="J15" s="83">
        <v>1.2441463267873452E-2</v>
      </c>
      <c r="K15" s="68" t="e">
        <f t="shared" si="2"/>
        <v>#NAME?</v>
      </c>
      <c r="L15" s="69" t="e">
        <f t="shared" si="3"/>
        <v>#NAME?</v>
      </c>
      <c r="M15" s="70" t="e">
        <f t="shared" si="4"/>
        <v>#NAME?</v>
      </c>
      <c r="N15" s="72" t="e">
        <f t="shared" si="5"/>
        <v>#NAME?</v>
      </c>
      <c r="O15" s="74" t="e">
        <f t="shared" si="9"/>
        <v>#NAME?</v>
      </c>
      <c r="P15" s="59">
        <f t="shared" si="10"/>
        <v>0.69213999999999998</v>
      </c>
      <c r="Q15" s="60">
        <v>4.3255655488471517E-5</v>
      </c>
      <c r="R15" s="58" t="e">
        <f t="shared" si="6"/>
        <v>#NAME?</v>
      </c>
      <c r="S15" s="63" t="e">
        <f t="shared" si="7"/>
        <v>#NAME?</v>
      </c>
      <c r="T15" s="57" t="e">
        <f t="shared" si="8"/>
        <v>#NAME?</v>
      </c>
      <c r="U15" s="75" t="e">
        <f>Table5[[#This Row],[Flow Velocity]]</f>
        <v>#NAME?</v>
      </c>
      <c r="V15" s="77" t="e">
        <f>Table5[[#This Row],[Friction Head Loss]]</f>
        <v>#NAME?</v>
      </c>
      <c r="BD15" s="11" t="e">
        <f>Flow_rate_m3_s</f>
        <v>#NAME?</v>
      </c>
    </row>
    <row r="16" spans="2:56">
      <c r="B16" s="106" t="s">
        <v>199</v>
      </c>
      <c r="C16" s="107">
        <f>design_flow_rate_l_s</f>
        <v>700</v>
      </c>
      <c r="D16" s="107" t="s">
        <v>16</v>
      </c>
      <c r="F16" s="64">
        <v>13</v>
      </c>
      <c r="G16" s="65">
        <f t="shared" si="0"/>
        <v>692.14</v>
      </c>
      <c r="H16" s="66" t="e">
        <f t="shared" si="1"/>
        <v>#NAME?</v>
      </c>
      <c r="I16" s="42">
        <f t="shared" si="11"/>
        <v>3.0000000000000002E-2</v>
      </c>
      <c r="J16" s="83">
        <v>1.2484614577805409E-2</v>
      </c>
      <c r="K16" s="68" t="e">
        <f t="shared" si="2"/>
        <v>#NAME?</v>
      </c>
      <c r="L16" s="69" t="e">
        <f t="shared" si="3"/>
        <v>#NAME?</v>
      </c>
      <c r="M16" s="70" t="e">
        <f t="shared" si="4"/>
        <v>#NAME?</v>
      </c>
      <c r="N16" s="72" t="e">
        <f t="shared" si="5"/>
        <v>#NAME?</v>
      </c>
      <c r="O16" s="74" t="e">
        <f t="shared" si="9"/>
        <v>#NAME?</v>
      </c>
      <c r="P16" s="59">
        <f t="shared" si="10"/>
        <v>0.69213999999999998</v>
      </c>
      <c r="Q16" s="60">
        <v>4.685321736711337E-5</v>
      </c>
      <c r="R16" s="58" t="e">
        <f t="shared" si="6"/>
        <v>#NAME?</v>
      </c>
      <c r="S16" s="63" t="e">
        <f t="shared" si="7"/>
        <v>#NAME?</v>
      </c>
      <c r="T16" s="57" t="e">
        <f t="shared" si="8"/>
        <v>#NAME?</v>
      </c>
      <c r="U16" s="75" t="e">
        <f>Table5[[#This Row],[Flow Velocity]]</f>
        <v>#NAME?</v>
      </c>
      <c r="V16" s="77" t="e">
        <f>Table5[[#This Row],[Friction Head Loss]]</f>
        <v>#NAME?</v>
      </c>
    </row>
    <row r="17" spans="2:52">
      <c r="B17" s="106" t="s">
        <v>198</v>
      </c>
      <c r="C17" s="107">
        <v>25</v>
      </c>
      <c r="D17" s="107" t="s">
        <v>30</v>
      </c>
      <c r="F17" s="64">
        <v>14</v>
      </c>
      <c r="G17" s="65">
        <f t="shared" si="0"/>
        <v>692.14</v>
      </c>
      <c r="H17" s="66" t="e">
        <f t="shared" si="1"/>
        <v>#NAME?</v>
      </c>
      <c r="I17" s="42">
        <f t="shared" si="11"/>
        <v>3.1666666666666669E-2</v>
      </c>
      <c r="J17" s="83">
        <v>1.2528036968043877E-2</v>
      </c>
      <c r="K17" s="68" t="e">
        <f t="shared" si="2"/>
        <v>#NAME?</v>
      </c>
      <c r="L17" s="69" t="e">
        <f t="shared" si="3"/>
        <v>#NAME?</v>
      </c>
      <c r="M17" s="70" t="e">
        <f t="shared" si="4"/>
        <v>#NAME?</v>
      </c>
      <c r="N17" s="72" t="e">
        <f t="shared" si="5"/>
        <v>#NAME?</v>
      </c>
      <c r="O17" s="74" t="e">
        <f t="shared" si="9"/>
        <v>#NAME?</v>
      </c>
      <c r="P17" s="59">
        <f t="shared" si="10"/>
        <v>0.69213999999999998</v>
      </c>
      <c r="Q17" s="60">
        <v>4.9552985771595878E-5</v>
      </c>
      <c r="R17" s="58" t="e">
        <f t="shared" si="6"/>
        <v>#NAME?</v>
      </c>
      <c r="S17" s="63" t="e">
        <f t="shared" si="7"/>
        <v>#NAME?</v>
      </c>
      <c r="T17" s="57" t="e">
        <f t="shared" si="8"/>
        <v>#NAME?</v>
      </c>
      <c r="U17" s="75" t="e">
        <f>Table5[[#This Row],[Flow Velocity]]</f>
        <v>#NAME?</v>
      </c>
      <c r="V17" s="77" t="e">
        <f>Table5[[#This Row],[Friction Head Loss]]</f>
        <v>#NAME?</v>
      </c>
    </row>
    <row r="18" spans="2:52">
      <c r="B18" s="106" t="s">
        <v>20</v>
      </c>
      <c r="C18" s="107">
        <v>1000</v>
      </c>
      <c r="D18" s="107" t="s">
        <v>14</v>
      </c>
      <c r="F18" s="64">
        <v>15</v>
      </c>
      <c r="G18" s="65">
        <f t="shared" si="0"/>
        <v>692.14</v>
      </c>
      <c r="H18" s="66" t="e">
        <f t="shared" si="1"/>
        <v>#NAME?</v>
      </c>
      <c r="I18" s="42">
        <f t="shared" si="11"/>
        <v>3.3333333333333333E-2</v>
      </c>
      <c r="J18" s="83">
        <v>1.2570740567403278E-2</v>
      </c>
      <c r="K18" s="68" t="e">
        <f t="shared" si="2"/>
        <v>#NAME?</v>
      </c>
      <c r="L18" s="69" t="e">
        <f t="shared" si="3"/>
        <v>#NAME?</v>
      </c>
      <c r="M18" s="70" t="e">
        <f t="shared" si="4"/>
        <v>#NAME?</v>
      </c>
      <c r="N18" s="72" t="e">
        <f t="shared" si="5"/>
        <v>#NAME?</v>
      </c>
      <c r="O18" s="74" t="e">
        <f t="shared" si="9"/>
        <v>#NAME?</v>
      </c>
      <c r="P18" s="59">
        <f t="shared" si="10"/>
        <v>0.69213999999999998</v>
      </c>
      <c r="Q18" s="60">
        <v>5.2365176164127086E-5</v>
      </c>
      <c r="R18" s="58" t="e">
        <f t="shared" si="6"/>
        <v>#NAME?</v>
      </c>
      <c r="S18" s="63" t="e">
        <f t="shared" si="7"/>
        <v>#NAME?</v>
      </c>
      <c r="T18" s="57" t="e">
        <f t="shared" si="8"/>
        <v>#NAME?</v>
      </c>
      <c r="U18" s="75" t="e">
        <f>Table5[[#This Row],[Flow Velocity]]</f>
        <v>#NAME?</v>
      </c>
      <c r="V18" s="77" t="e">
        <f>Table5[[#This Row],[Friction Head Loss]]</f>
        <v>#NAME?</v>
      </c>
    </row>
    <row r="19" spans="2:52">
      <c r="B19" s="106" t="s">
        <v>200</v>
      </c>
      <c r="C19" s="107">
        <v>0.3</v>
      </c>
      <c r="D19" s="107" t="s">
        <v>27</v>
      </c>
      <c r="F19" s="64">
        <v>16</v>
      </c>
      <c r="G19" s="65">
        <f t="shared" si="0"/>
        <v>692.14</v>
      </c>
      <c r="H19" s="66" t="e">
        <f t="shared" si="1"/>
        <v>#NAME?</v>
      </c>
      <c r="I19" s="42">
        <f t="shared" si="11"/>
        <v>3.4999999999999996E-2</v>
      </c>
      <c r="J19" s="83">
        <v>1.2613055187652796E-2</v>
      </c>
      <c r="K19" s="68" t="e">
        <f t="shared" si="2"/>
        <v>#NAME?</v>
      </c>
      <c r="L19" s="69" t="e">
        <f t="shared" si="3"/>
        <v>#NAME?</v>
      </c>
      <c r="M19" s="70" t="e">
        <f t="shared" si="4"/>
        <v>#NAME?</v>
      </c>
      <c r="N19" s="72" t="e">
        <f t="shared" si="5"/>
        <v>#NAME?</v>
      </c>
      <c r="O19" s="74" t="e">
        <f t="shared" si="9"/>
        <v>#NAME?</v>
      </c>
      <c r="P19" s="59">
        <f t="shared" si="10"/>
        <v>0.69213999999999998</v>
      </c>
      <c r="Q19" s="60">
        <v>5.4979297887407588E-5</v>
      </c>
      <c r="R19" s="58" t="e">
        <f t="shared" si="6"/>
        <v>#NAME?</v>
      </c>
      <c r="S19" s="63" t="e">
        <f t="shared" si="7"/>
        <v>#NAME?</v>
      </c>
      <c r="T19" s="57" t="e">
        <f t="shared" si="8"/>
        <v>#NAME?</v>
      </c>
      <c r="U19" s="75" t="e">
        <f>Table5[[#This Row],[Flow Velocity]]</f>
        <v>#NAME?</v>
      </c>
      <c r="V19" s="77" t="e">
        <f>Table5[[#This Row],[Friction Head Loss]]</f>
        <v>#NAME?</v>
      </c>
      <c r="AO19" s="2"/>
      <c r="AQ19" s="332" t="s">
        <v>39</v>
      </c>
      <c r="AR19" s="332"/>
    </row>
    <row r="20" spans="2:52">
      <c r="B20" s="106" t="s">
        <v>201</v>
      </c>
      <c r="C20" s="107">
        <v>1150</v>
      </c>
      <c r="D20" s="107" t="s">
        <v>264</v>
      </c>
      <c r="F20" s="64">
        <v>17</v>
      </c>
      <c r="G20" s="65">
        <f t="shared" si="0"/>
        <v>692.14</v>
      </c>
      <c r="H20" s="66" t="e">
        <f t="shared" si="1"/>
        <v>#NAME?</v>
      </c>
      <c r="I20" s="42">
        <f t="shared" si="11"/>
        <v>3.666666666666666E-2</v>
      </c>
      <c r="J20" s="83">
        <v>1.2654982161094133E-2</v>
      </c>
      <c r="K20" s="68" t="e">
        <f t="shared" si="2"/>
        <v>#NAME?</v>
      </c>
      <c r="L20" s="69" t="e">
        <f t="shared" si="3"/>
        <v>#NAME?</v>
      </c>
      <c r="M20" s="70" t="e">
        <f t="shared" si="4"/>
        <v>#NAME?</v>
      </c>
      <c r="N20" s="72" t="e">
        <f t="shared" si="5"/>
        <v>#NAME?</v>
      </c>
      <c r="O20" s="74" t="e">
        <f t="shared" si="9"/>
        <v>#NAME?</v>
      </c>
      <c r="P20" s="59">
        <f t="shared" si="10"/>
        <v>0.69213999999999998</v>
      </c>
      <c r="Q20" s="60">
        <v>5.7412385553646042E-5</v>
      </c>
      <c r="R20" s="58" t="e">
        <f t="shared" si="6"/>
        <v>#NAME?</v>
      </c>
      <c r="S20" s="63" t="e">
        <f t="shared" si="7"/>
        <v>#NAME?</v>
      </c>
      <c r="T20" s="57" t="e">
        <f t="shared" si="8"/>
        <v>#NAME?</v>
      </c>
      <c r="U20" s="75" t="e">
        <f>Table5[[#This Row],[Flow Velocity]]</f>
        <v>#NAME?</v>
      </c>
      <c r="V20" s="77" t="e">
        <f>Table5[[#This Row],[Friction Head Loss]]</f>
        <v>#NAME?</v>
      </c>
      <c r="AP20" s="2"/>
      <c r="AQ20" s="12" t="s">
        <v>41</v>
      </c>
      <c r="AR20" s="13" t="s">
        <v>42</v>
      </c>
      <c r="AS20" s="2" t="s">
        <v>43</v>
      </c>
    </row>
    <row r="21" spans="2:52">
      <c r="B21" s="106" t="s">
        <v>17</v>
      </c>
      <c r="C21" s="108">
        <v>0.17399999999999999</v>
      </c>
      <c r="D21" s="107" t="s">
        <v>265</v>
      </c>
      <c r="E21" s="161">
        <f>Energy_cost/1000</f>
        <v>1.74E-4</v>
      </c>
      <c r="F21" s="64">
        <v>18</v>
      </c>
      <c r="G21" s="65">
        <f t="shared" si="0"/>
        <v>692.14</v>
      </c>
      <c r="H21" s="66" t="e">
        <f t="shared" si="1"/>
        <v>#NAME?</v>
      </c>
      <c r="I21" s="42">
        <f t="shared" si="11"/>
        <v>3.8333333333333323E-2</v>
      </c>
      <c r="J21" s="83">
        <v>1.2696523725192145E-2</v>
      </c>
      <c r="K21" s="68" t="e">
        <f t="shared" si="2"/>
        <v>#NAME?</v>
      </c>
      <c r="L21" s="69" t="e">
        <f t="shared" si="3"/>
        <v>#NAME?</v>
      </c>
      <c r="M21" s="70" t="e">
        <f t="shared" si="4"/>
        <v>#NAME?</v>
      </c>
      <c r="N21" s="72" t="e">
        <f t="shared" si="5"/>
        <v>#NAME?</v>
      </c>
      <c r="O21" s="74" t="e">
        <f t="shared" si="9"/>
        <v>#NAME?</v>
      </c>
      <c r="P21" s="59">
        <f t="shared" si="10"/>
        <v>0.69213999999999998</v>
      </c>
      <c r="Q21" s="60">
        <v>5.9679677595569913E-5</v>
      </c>
      <c r="R21" s="58" t="e">
        <f t="shared" si="6"/>
        <v>#NAME?</v>
      </c>
      <c r="S21" s="63" t="e">
        <f t="shared" si="7"/>
        <v>#NAME?</v>
      </c>
      <c r="T21" s="57" t="e">
        <f t="shared" si="8"/>
        <v>#NAME?</v>
      </c>
      <c r="U21" s="75" t="e">
        <f>Table5[[#This Row],[Flow Velocity]]</f>
        <v>#NAME?</v>
      </c>
      <c r="V21" s="77" t="e">
        <f>Table5[[#This Row],[Friction Head Loss]]</f>
        <v>#NAME?</v>
      </c>
      <c r="AF21" s="4" t="s">
        <v>159</v>
      </c>
      <c r="AG21" s="4" t="s">
        <v>160</v>
      </c>
      <c r="AO21" s="333" t="s">
        <v>12</v>
      </c>
      <c r="AP21" s="14" t="s">
        <v>44</v>
      </c>
      <c r="AQ21" s="15" t="e">
        <f>(#REF!-#REF!)/1000000</f>
        <v>#REF!</v>
      </c>
      <c r="AR21" s="16"/>
      <c r="AS21" s="17" t="s">
        <v>45</v>
      </c>
    </row>
    <row r="22" spans="2:52">
      <c r="B22" s="106" t="s">
        <v>31</v>
      </c>
      <c r="C22" s="109">
        <v>8400</v>
      </c>
      <c r="D22" s="107" t="s">
        <v>32</v>
      </c>
      <c r="F22" s="64">
        <v>19</v>
      </c>
      <c r="G22" s="65">
        <f t="shared" si="0"/>
        <v>692.14</v>
      </c>
      <c r="H22" s="66" t="e">
        <f t="shared" si="1"/>
        <v>#NAME?</v>
      </c>
      <c r="I22" s="42">
        <f t="shared" si="11"/>
        <v>3.9999999999999987E-2</v>
      </c>
      <c r="J22" s="83">
        <v>1.2737682856221398E-2</v>
      </c>
      <c r="K22" s="68" t="e">
        <f t="shared" si="2"/>
        <v>#NAME?</v>
      </c>
      <c r="L22" s="69" t="e">
        <f t="shared" si="3"/>
        <v>#NAME?</v>
      </c>
      <c r="M22" s="70" t="e">
        <f t="shared" si="4"/>
        <v>#NAME?</v>
      </c>
      <c r="N22" s="72" t="e">
        <f t="shared" si="5"/>
        <v>#NAME?</v>
      </c>
      <c r="O22" s="74" t="e">
        <f t="shared" si="9"/>
        <v>#NAME?</v>
      </c>
      <c r="P22" s="59">
        <f t="shared" si="10"/>
        <v>0.69213999999999998</v>
      </c>
      <c r="Q22" s="60">
        <v>6.1794840593524039E-5</v>
      </c>
      <c r="R22" s="58" t="e">
        <f t="shared" si="6"/>
        <v>#NAME?</v>
      </c>
      <c r="S22" s="63" t="e">
        <f t="shared" si="7"/>
        <v>#NAME?</v>
      </c>
      <c r="T22" s="57" t="e">
        <f t="shared" si="8"/>
        <v>#NAME?</v>
      </c>
      <c r="U22" s="75" t="e">
        <f>Table5[[#This Row],[Flow Velocity]]</f>
        <v>#NAME?</v>
      </c>
      <c r="V22" s="77" t="e">
        <f>Table5[[#This Row],[Friction Head Loss]]</f>
        <v>#NAME?</v>
      </c>
      <c r="AE22" s="4" t="s">
        <v>161</v>
      </c>
      <c r="AO22" s="334"/>
      <c r="AP22" s="18" t="s">
        <v>46</v>
      </c>
      <c r="AQ22" s="15" t="e">
        <f>#REF!/1000000</f>
        <v>#REF!</v>
      </c>
      <c r="AR22" s="16"/>
      <c r="AS22" s="17" t="s">
        <v>45</v>
      </c>
    </row>
    <row r="23" spans="2:52">
      <c r="B23" s="106" t="s">
        <v>36</v>
      </c>
      <c r="C23" s="107">
        <v>82</v>
      </c>
      <c r="D23" s="107" t="s">
        <v>71</v>
      </c>
      <c r="E23" s="107">
        <f>pump_efficiency</f>
        <v>0.82</v>
      </c>
      <c r="F23" s="64">
        <v>20</v>
      </c>
      <c r="G23" s="65">
        <f t="shared" si="0"/>
        <v>692.14</v>
      </c>
      <c r="H23" s="66" t="e">
        <f t="shared" si="1"/>
        <v>#NAME?</v>
      </c>
      <c r="I23" s="42">
        <f t="shared" si="11"/>
        <v>4.166666666666665E-2</v>
      </c>
      <c r="J23" s="83">
        <v>1.2778463130454495E-2</v>
      </c>
      <c r="K23" s="68" t="e">
        <f t="shared" si="2"/>
        <v>#NAME?</v>
      </c>
      <c r="L23" s="69" t="e">
        <f t="shared" si="3"/>
        <v>#NAME?</v>
      </c>
      <c r="M23" s="70" t="e">
        <f t="shared" si="4"/>
        <v>#NAME?</v>
      </c>
      <c r="N23" s="72" t="e">
        <f t="shared" si="5"/>
        <v>#NAME?</v>
      </c>
      <c r="O23" s="74" t="e">
        <f t="shared" si="9"/>
        <v>#NAME?</v>
      </c>
      <c r="P23" s="59">
        <f t="shared" si="10"/>
        <v>0.69213999999999998</v>
      </c>
      <c r="Q23" s="60">
        <v>6.3770161363675346E-5</v>
      </c>
      <c r="R23" s="58" t="e">
        <f t="shared" si="6"/>
        <v>#NAME?</v>
      </c>
      <c r="S23" s="63" t="e">
        <f t="shared" si="7"/>
        <v>#NAME?</v>
      </c>
      <c r="T23" s="57" t="e">
        <f t="shared" si="8"/>
        <v>#NAME?</v>
      </c>
      <c r="U23" s="75" t="e">
        <f>Table5[[#This Row],[Flow Velocity]]</f>
        <v>#NAME?</v>
      </c>
      <c r="V23" s="77" t="e">
        <f>Table5[[#This Row],[Friction Head Loss]]</f>
        <v>#NAME?</v>
      </c>
      <c r="AO23" s="335"/>
      <c r="AP23" s="18" t="s">
        <v>47</v>
      </c>
      <c r="AQ23" s="15" t="e">
        <f>AQ22+AQ21</f>
        <v>#REF!</v>
      </c>
      <c r="AR23" s="16"/>
      <c r="AS23" s="17" t="s">
        <v>45</v>
      </c>
    </row>
    <row r="24" spans="2:52">
      <c r="B24" s="106" t="s">
        <v>193</v>
      </c>
      <c r="C24" s="107">
        <v>10</v>
      </c>
      <c r="D24" s="107" t="s">
        <v>71</v>
      </c>
      <c r="F24" s="64">
        <v>21</v>
      </c>
      <c r="G24" s="65">
        <f t="shared" si="0"/>
        <v>692.14</v>
      </c>
      <c r="H24" s="66" t="e">
        <f t="shared" si="1"/>
        <v>#NAME?</v>
      </c>
      <c r="I24" s="42">
        <f t="shared" si="11"/>
        <v>4.3333333333333314E-2</v>
      </c>
      <c r="J24" s="83">
        <v>1.2818868608130222E-2</v>
      </c>
      <c r="K24" s="68" t="e">
        <f t="shared" si="2"/>
        <v>#NAME?</v>
      </c>
      <c r="L24" s="69" t="e">
        <f t="shared" si="3"/>
        <v>#NAME?</v>
      </c>
      <c r="M24" s="70" t="e">
        <f t="shared" si="4"/>
        <v>#NAME?</v>
      </c>
      <c r="N24" s="72" t="e">
        <f t="shared" si="5"/>
        <v>#NAME?</v>
      </c>
      <c r="O24" s="74" t="e">
        <f t="shared" si="9"/>
        <v>#NAME?</v>
      </c>
      <c r="P24" s="59">
        <f t="shared" si="10"/>
        <v>0.69213999999999998</v>
      </c>
      <c r="Q24" s="60">
        <v>6.5616712022121063E-5</v>
      </c>
      <c r="R24" s="58" t="e">
        <f t="shared" si="6"/>
        <v>#NAME?</v>
      </c>
      <c r="S24" s="63" t="e">
        <f t="shared" si="7"/>
        <v>#NAME?</v>
      </c>
      <c r="T24" s="57" t="e">
        <f t="shared" si="8"/>
        <v>#NAME?</v>
      </c>
      <c r="U24" s="75" t="e">
        <f>Table5[[#This Row],[Flow Velocity]]</f>
        <v>#NAME?</v>
      </c>
      <c r="V24" s="77" t="e">
        <f>Table5[[#This Row],[Friction Head Loss]]</f>
        <v>#NAME?</v>
      </c>
      <c r="AP24" s="6"/>
      <c r="AQ24" s="19"/>
      <c r="AR24" s="16"/>
    </row>
    <row r="25" spans="2:52" ht="16" customHeight="1" thickBot="1">
      <c r="B25" s="106" t="s">
        <v>33</v>
      </c>
      <c r="C25" s="160">
        <v>9.8066499999999994</v>
      </c>
      <c r="D25" s="107" t="s">
        <v>34</v>
      </c>
      <c r="F25" s="64">
        <v>22</v>
      </c>
      <c r="G25" s="65">
        <f t="shared" si="0"/>
        <v>692.14</v>
      </c>
      <c r="H25" s="66" t="e">
        <f t="shared" si="1"/>
        <v>#NAME?</v>
      </c>
      <c r="I25" s="42">
        <f t="shared" si="11"/>
        <v>4.4999999999999978E-2</v>
      </c>
      <c r="J25" s="83">
        <v>1.2858903736322647E-2</v>
      </c>
      <c r="K25" s="68" t="e">
        <f t="shared" si="2"/>
        <v>#NAME?</v>
      </c>
      <c r="L25" s="69" t="e">
        <f t="shared" si="3"/>
        <v>#NAME?</v>
      </c>
      <c r="M25" s="70" t="e">
        <f t="shared" si="4"/>
        <v>#NAME?</v>
      </c>
      <c r="N25" s="72" t="e">
        <f t="shared" si="5"/>
        <v>#NAME?</v>
      </c>
      <c r="O25" s="74" t="e">
        <f t="shared" si="9"/>
        <v>#NAME?</v>
      </c>
      <c r="P25" s="59">
        <f t="shared" si="10"/>
        <v>0.69213999999999998</v>
      </c>
      <c r="Q25" s="60">
        <v>6.7344492306347162E-5</v>
      </c>
      <c r="R25" s="58" t="e">
        <f t="shared" si="6"/>
        <v>#NAME?</v>
      </c>
      <c r="S25" s="63" t="e">
        <f t="shared" si="7"/>
        <v>#NAME?</v>
      </c>
      <c r="T25" s="57" t="e">
        <f t="shared" si="8"/>
        <v>#NAME?</v>
      </c>
      <c r="U25" s="75" t="e">
        <f>Table5[[#This Row],[Flow Velocity]]</f>
        <v>#NAME?</v>
      </c>
      <c r="V25" s="77" t="e">
        <f>Table5[[#This Row],[Friction Head Loss]]</f>
        <v>#NAME?</v>
      </c>
      <c r="AO25" s="336" t="s">
        <v>48</v>
      </c>
      <c r="AP25" s="20" t="s">
        <v>49</v>
      </c>
      <c r="AQ25" s="21" t="e">
        <f>PV(discount_rate,Service_life_yr,-AQ23)*1000000</f>
        <v>#REF!</v>
      </c>
      <c r="AR25" s="22"/>
      <c r="AS25" s="23" t="s">
        <v>50</v>
      </c>
      <c r="AV25" s="5">
        <v>400</v>
      </c>
      <c r="AW25" s="5" t="s">
        <v>51</v>
      </c>
    </row>
    <row r="26" spans="2:52" ht="17" thickBot="1">
      <c r="F26" s="64">
        <v>23</v>
      </c>
      <c r="G26" s="65">
        <f t="shared" si="0"/>
        <v>692.14</v>
      </c>
      <c r="H26" s="66" t="e">
        <f t="shared" si="1"/>
        <v>#NAME?</v>
      </c>
      <c r="I26" s="42">
        <f t="shared" si="11"/>
        <v>4.6666666666666641E-2</v>
      </c>
      <c r="J26" s="83">
        <v>1.2898573267539062E-2</v>
      </c>
      <c r="K26" s="68" t="e">
        <f t="shared" si="2"/>
        <v>#NAME?</v>
      </c>
      <c r="L26" s="69" t="e">
        <f t="shared" si="3"/>
        <v>#NAME?</v>
      </c>
      <c r="M26" s="70" t="e">
        <f t="shared" si="4"/>
        <v>#NAME?</v>
      </c>
      <c r="N26" s="72" t="e">
        <f t="shared" si="5"/>
        <v>#NAME?</v>
      </c>
      <c r="O26" s="74" t="e">
        <f t="shared" si="9"/>
        <v>#NAME?</v>
      </c>
      <c r="P26" s="59">
        <f t="shared" si="10"/>
        <v>0.69213999999999998</v>
      </c>
      <c r="Q26" s="60">
        <v>6.896255268461042E-5</v>
      </c>
      <c r="R26" s="58" t="e">
        <f t="shared" si="6"/>
        <v>#NAME?</v>
      </c>
      <c r="S26" s="63" t="e">
        <f t="shared" si="7"/>
        <v>#NAME?</v>
      </c>
      <c r="T26" s="57" t="e">
        <f t="shared" si="8"/>
        <v>#NAME?</v>
      </c>
      <c r="U26" s="75" t="e">
        <f>Table5[[#This Row],[Flow Velocity]]</f>
        <v>#NAME?</v>
      </c>
      <c r="V26" s="77" t="e">
        <f>Table5[[#This Row],[Friction Head Loss]]</f>
        <v>#NAME?</v>
      </c>
      <c r="AO26" s="336"/>
      <c r="AP26" s="24" t="s">
        <v>52</v>
      </c>
      <c r="AQ26" s="25"/>
      <c r="AR26" s="26" t="e">
        <f>C20*pipeline_length_m/12</f>
        <v>#NAME?</v>
      </c>
      <c r="AS26" s="23" t="s">
        <v>50</v>
      </c>
      <c r="AU26" s="5" t="s">
        <v>53</v>
      </c>
      <c r="AV26" s="5">
        <v>28170</v>
      </c>
      <c r="AW26" s="5">
        <f>AV26/$AV$25</f>
        <v>70.424999999999997</v>
      </c>
      <c r="AX26" s="27" t="s">
        <v>54</v>
      </c>
      <c r="AY26" s="5">
        <v>70</v>
      </c>
      <c r="AZ26" s="5">
        <f>AY26*$AV$25</f>
        <v>28000</v>
      </c>
    </row>
    <row r="27" spans="2:52">
      <c r="B27" s="106" t="s">
        <v>1</v>
      </c>
      <c r="C27" s="117" t="e">
        <f>pipeline_length_m/1000</f>
        <v>#NAME?</v>
      </c>
      <c r="D27" s="117" t="s">
        <v>2</v>
      </c>
      <c r="F27" s="64">
        <v>24</v>
      </c>
      <c r="G27" s="65">
        <f t="shared" si="0"/>
        <v>692.14</v>
      </c>
      <c r="H27" s="66" t="e">
        <f t="shared" si="1"/>
        <v>#NAME?</v>
      </c>
      <c r="I27" s="42">
        <f t="shared" si="11"/>
        <v>4.8333333333333305E-2</v>
      </c>
      <c r="J27" s="83">
        <v>1.2937882191443264E-2</v>
      </c>
      <c r="K27" s="68" t="e">
        <f t="shared" si="2"/>
        <v>#NAME?</v>
      </c>
      <c r="L27" s="69" t="e">
        <f t="shared" si="3"/>
        <v>#NAME?</v>
      </c>
      <c r="M27" s="70" t="e">
        <f t="shared" si="4"/>
        <v>#NAME?</v>
      </c>
      <c r="N27" s="72" t="e">
        <f t="shared" si="5"/>
        <v>#NAME?</v>
      </c>
      <c r="O27" s="74" t="e">
        <f t="shared" si="9"/>
        <v>#NAME?</v>
      </c>
      <c r="P27" s="59">
        <f t="shared" si="10"/>
        <v>0.69213999999999998</v>
      </c>
      <c r="Q27" s="60">
        <v>7.0479101176506437E-5</v>
      </c>
      <c r="R27" s="58" t="e">
        <f t="shared" si="6"/>
        <v>#NAME?</v>
      </c>
      <c r="S27" s="63" t="e">
        <f t="shared" si="7"/>
        <v>#NAME?</v>
      </c>
      <c r="T27" s="57" t="e">
        <f t="shared" si="8"/>
        <v>#NAME?</v>
      </c>
      <c r="U27" s="75" t="e">
        <f>Table5[[#This Row],[Flow Velocity]]</f>
        <v>#NAME?</v>
      </c>
      <c r="V27" s="77" t="e">
        <f>Table5[[#This Row],[Friction Head Loss]]</f>
        <v>#NAME?</v>
      </c>
      <c r="AO27" s="336"/>
      <c r="AP27" s="28" t="s">
        <v>55</v>
      </c>
      <c r="AQ27" s="29" t="e">
        <f>#REF!-#REF!</f>
        <v>#REF!</v>
      </c>
      <c r="AR27" s="22"/>
      <c r="AS27" s="23" t="s">
        <v>50</v>
      </c>
      <c r="AU27" s="5" t="s">
        <v>56</v>
      </c>
      <c r="AV27" s="5">
        <v>3686</v>
      </c>
      <c r="AW27" s="5">
        <f>AV27/$AV$25</f>
        <v>9.2149999999999999</v>
      </c>
      <c r="AX27" s="5" t="s">
        <v>57</v>
      </c>
      <c r="AY27" s="5">
        <v>50</v>
      </c>
      <c r="AZ27" s="5">
        <v>21000</v>
      </c>
    </row>
    <row r="28" spans="2:52" ht="17" thickBot="1">
      <c r="B28" s="106" t="s">
        <v>23</v>
      </c>
      <c r="C28" s="107">
        <f>pipe_od_in*25.4</f>
        <v>711.19999999999993</v>
      </c>
      <c r="D28" s="107" t="s">
        <v>27</v>
      </c>
      <c r="E28" s="107">
        <f>diameter_mm/2</f>
        <v>355.59999999999997</v>
      </c>
      <c r="F28" s="64">
        <v>25</v>
      </c>
      <c r="G28" s="65">
        <f t="shared" si="0"/>
        <v>692.14</v>
      </c>
      <c r="H28" s="66" t="e">
        <f t="shared" si="1"/>
        <v>#NAME?</v>
      </c>
      <c r="I28" s="67">
        <f>roughness_FBE_yr_25</f>
        <v>0.05</v>
      </c>
      <c r="J28" s="83">
        <v>1.2976542898496118E-2</v>
      </c>
      <c r="K28" s="68" t="e">
        <f t="shared" si="2"/>
        <v>#NAME?</v>
      </c>
      <c r="L28" s="69" t="e">
        <f t="shared" si="3"/>
        <v>#NAME?</v>
      </c>
      <c r="M28" s="70" t="e">
        <f t="shared" si="4"/>
        <v>#NAME?</v>
      </c>
      <c r="N28" s="72" t="e">
        <f t="shared" si="5"/>
        <v>#NAME?</v>
      </c>
      <c r="O28" s="74" t="e">
        <f t="shared" si="9"/>
        <v>#NAME?</v>
      </c>
      <c r="P28" s="59">
        <f t="shared" si="10"/>
        <v>0.69213999999999998</v>
      </c>
      <c r="Q28" s="60">
        <v>7.2194375378713607E-5</v>
      </c>
      <c r="R28" s="58" t="e">
        <f t="shared" si="6"/>
        <v>#NAME?</v>
      </c>
      <c r="S28" s="63" t="e">
        <f t="shared" si="7"/>
        <v>#NAME?</v>
      </c>
      <c r="T28" s="57" t="e">
        <f t="shared" si="8"/>
        <v>#NAME?</v>
      </c>
      <c r="U28" s="75" t="e">
        <f>Table5[[#This Row],[Flow Velocity]]</f>
        <v>#NAME?</v>
      </c>
      <c r="V28" s="77" t="e">
        <f>Table5[[#This Row],[Friction Head Loss]]</f>
        <v>#NAME?</v>
      </c>
      <c r="AO28" s="336"/>
      <c r="AP28" s="30" t="s">
        <v>58</v>
      </c>
      <c r="AQ28" s="31"/>
      <c r="AR28" s="26" t="e">
        <f>without_pipeline_weight_MT</f>
        <v>#NAME?</v>
      </c>
      <c r="AS28" s="23" t="s">
        <v>50</v>
      </c>
      <c r="AU28" s="5" t="s">
        <v>59</v>
      </c>
      <c r="AV28" s="5">
        <v>7210</v>
      </c>
      <c r="AW28" s="5">
        <f>AV28/$AV$25</f>
        <v>18.024999999999999</v>
      </c>
      <c r="AX28" s="32" t="s">
        <v>60</v>
      </c>
      <c r="AY28" s="5">
        <v>9</v>
      </c>
      <c r="AZ28" s="5">
        <f>AY28*$AV$25</f>
        <v>3600</v>
      </c>
    </row>
    <row r="29" spans="2:52">
      <c r="B29" s="106" t="s">
        <v>23</v>
      </c>
      <c r="C29" s="107">
        <f>diameter_mm/1000</f>
        <v>0.71119999999999994</v>
      </c>
      <c r="D29" s="107" t="s">
        <v>14</v>
      </c>
      <c r="F29" s="64"/>
      <c r="G29" s="78"/>
      <c r="H29" s="66"/>
      <c r="I29" s="79">
        <f>(I28-I4)/24</f>
        <v>1.6666666666666668E-3</v>
      </c>
      <c r="J29" s="71"/>
      <c r="K29" s="80"/>
      <c r="L29" s="81"/>
      <c r="M29" s="82"/>
      <c r="N29" s="72" t="e">
        <f>NPV(discount_rate/100,Table5[OPEX])</f>
        <v>#NAME?</v>
      </c>
      <c r="O29" s="3"/>
      <c r="P29" s="3"/>
      <c r="R29" s="3"/>
      <c r="T29" s="3"/>
      <c r="AP29" s="33" t="s">
        <v>61</v>
      </c>
      <c r="AQ29" s="34" t="e">
        <f>SUM(AQ25:AQ28)-SUM(AR25:AR28)</f>
        <v>#REF!</v>
      </c>
      <c r="AR29" s="35"/>
      <c r="AS29" s="23" t="s">
        <v>50</v>
      </c>
      <c r="AX29" s="5" t="s">
        <v>62</v>
      </c>
      <c r="AY29" s="5">
        <v>3</v>
      </c>
      <c r="AZ29" s="5">
        <v>1200</v>
      </c>
    </row>
    <row r="30" spans="2:52">
      <c r="B30" s="106" t="s">
        <v>28</v>
      </c>
      <c r="C30" s="118">
        <f>dynamic_viscosity_of_water_cP/1000/water_density</f>
        <v>1.262135922330097E-6</v>
      </c>
      <c r="D30" s="107" t="s">
        <v>29</v>
      </c>
      <c r="F30" s="36" t="s">
        <v>63</v>
      </c>
      <c r="H30" s="3"/>
      <c r="J30" s="3"/>
      <c r="L30" s="3"/>
      <c r="M30" s="3"/>
      <c r="N30" s="37"/>
      <c r="O30" s="3"/>
      <c r="R30" s="3"/>
      <c r="T30" s="3"/>
      <c r="AV30" s="38">
        <f>SUM(AV25:AV28)</f>
        <v>39466</v>
      </c>
      <c r="AX30" s="5" t="s">
        <v>64</v>
      </c>
      <c r="AY30" s="5">
        <v>5</v>
      </c>
      <c r="AZ30" s="5">
        <f>AY30*$AV$25</f>
        <v>2000</v>
      </c>
    </row>
    <row r="31" spans="2:52" ht="15" customHeight="1" thickBot="1">
      <c r="B31" s="106" t="s">
        <v>25</v>
      </c>
      <c r="C31" s="107">
        <v>1.3</v>
      </c>
      <c r="D31" s="107" t="s">
        <v>26</v>
      </c>
      <c r="F31" s="76" t="s">
        <v>3</v>
      </c>
      <c r="G31" s="84" t="s">
        <v>13</v>
      </c>
      <c r="H31" s="76" t="s">
        <v>158</v>
      </c>
      <c r="I31" s="85" t="s">
        <v>6</v>
      </c>
      <c r="J31" s="76" t="s">
        <v>8</v>
      </c>
      <c r="K31" s="86" t="s">
        <v>157</v>
      </c>
      <c r="L31" s="76" t="s">
        <v>10</v>
      </c>
      <c r="M31" s="76" t="s">
        <v>11</v>
      </c>
      <c r="N31" s="76" t="s">
        <v>12</v>
      </c>
      <c r="O31" s="8" t="s">
        <v>155</v>
      </c>
      <c r="P31" s="39" t="s">
        <v>65</v>
      </c>
      <c r="Q31" s="59" t="s">
        <v>156</v>
      </c>
      <c r="R31" s="39" t="s">
        <v>7</v>
      </c>
      <c r="S31" s="62" t="s">
        <v>66</v>
      </c>
      <c r="T31" s="8" t="s">
        <v>154</v>
      </c>
      <c r="AX31" s="32" t="s">
        <v>67</v>
      </c>
      <c r="AY31" s="5">
        <v>18</v>
      </c>
      <c r="AZ31" s="5">
        <f>AY31*$AV$25</f>
        <v>7200</v>
      </c>
    </row>
    <row r="32" spans="2:52">
      <c r="B32" s="106" t="s">
        <v>15</v>
      </c>
      <c r="C32" s="107" t="e">
        <f>Flow_L_s/1000</f>
        <v>#NAME?</v>
      </c>
      <c r="D32" s="107" t="s">
        <v>18</v>
      </c>
      <c r="F32" s="3">
        <v>1</v>
      </c>
      <c r="G32" s="4">
        <f t="shared" ref="G32:G56" si="12">P32*1000</f>
        <v>682.14</v>
      </c>
      <c r="H32" s="41" t="e">
        <f t="shared" ref="H32:H56" si="13">Flow_rate_m3_s/(PI()*(P32/2)^2)</f>
        <v>#NAME?</v>
      </c>
      <c r="I32" s="42">
        <f>roughness_bare_pipe_yr_1</f>
        <v>0.1</v>
      </c>
      <c r="J32" s="87">
        <v>1.4030641841078663E-2</v>
      </c>
      <c r="K32" s="44" t="e">
        <f t="shared" ref="K32:K56" si="14">P32*H32/v_kinematic_viscosity</f>
        <v>#NAME?</v>
      </c>
      <c r="L32" s="45" t="e">
        <f t="shared" ref="L32:L56" si="15">J32*pipeline_length_m/(P32)*H32^2/(2*grav_accel)</f>
        <v>#NAME?</v>
      </c>
      <c r="M32" s="46" t="e">
        <f t="shared" ref="M32:M56" si="16">water_density*grav_accel*Flow_rate_m3_s*(L32+Elevation_change_m)/(pump_efficiency)/1000</f>
        <v>#NAME?</v>
      </c>
      <c r="N32" s="72" t="e">
        <f t="shared" ref="N32:N56" si="17">M32*annual_operation_h*Energy_cost/1000000</f>
        <v>#NAME?</v>
      </c>
      <c r="O32" s="74" t="e">
        <f>(N4-N32)*1000000</f>
        <v>#NAME?</v>
      </c>
      <c r="P32" s="40">
        <f>C39</f>
        <v>0.68213999999999997</v>
      </c>
      <c r="Q32" s="61">
        <v>7.9732961447604583E-5</v>
      </c>
      <c r="R32" s="43" t="e">
        <f t="shared" ref="R32:R56" si="18">1/SQRT(J32)+2*LOG10(((I32/1000)/(3.7*P32))+(2.51/(P32*H32/v_kinematic_viscosity*SQRT(J32))))</f>
        <v>#NAME?</v>
      </c>
      <c r="S32" s="63" t="e">
        <f t="shared" ref="S32:S56" si="19">0.25/(LOG10((I32/1000/(3.7*P32))+(5.74/((P32*H32/v_kinematic_viscosity)^0.9)))^2)-Q32</f>
        <v>#NAME?</v>
      </c>
      <c r="T32" s="57" t="e">
        <f t="shared" ref="T32:T56" si="20">S32-J32</f>
        <v>#NAME?</v>
      </c>
      <c r="AY32" s="5">
        <f>SUM(AY26:AY31)</f>
        <v>155</v>
      </c>
      <c r="AZ32" s="5">
        <f>AY32*AV25</f>
        <v>62000</v>
      </c>
    </row>
    <row r="33" spans="2:44">
      <c r="B33" s="106" t="s">
        <v>15</v>
      </c>
      <c r="C33" s="119" t="e">
        <f>Flow_L_s*3.6</f>
        <v>#NAME?</v>
      </c>
      <c r="D33" s="107" t="s">
        <v>19</v>
      </c>
      <c r="E33" s="111"/>
      <c r="F33" s="3">
        <v>2</v>
      </c>
      <c r="G33" s="4">
        <f t="shared" si="12"/>
        <v>682.55666666666662</v>
      </c>
      <c r="H33" s="41" t="e">
        <f t="shared" si="13"/>
        <v>#NAME?</v>
      </c>
      <c r="I33" s="42">
        <f>I32+$I$57</f>
        <v>0.10833333333333334</v>
      </c>
      <c r="J33" s="87">
        <v>1.4182852669950997E-2</v>
      </c>
      <c r="K33" s="44" t="e">
        <f t="shared" si="14"/>
        <v>#NAME?</v>
      </c>
      <c r="L33" s="45" t="e">
        <f t="shared" si="15"/>
        <v>#NAME?</v>
      </c>
      <c r="M33" s="46" t="e">
        <f t="shared" si="16"/>
        <v>#NAME?</v>
      </c>
      <c r="N33" s="72" t="e">
        <f t="shared" si="17"/>
        <v>#NAME?</v>
      </c>
      <c r="O33" s="74" t="e">
        <f t="shared" ref="O33:O56" si="21">(N5-N33)*1000000</f>
        <v>#NAME?</v>
      </c>
      <c r="P33" s="40">
        <f t="shared" ref="P33:P55" si="22">P32+$P$57</f>
        <v>0.68255666666666659</v>
      </c>
      <c r="Q33" s="61">
        <v>7.9732961447604583E-5</v>
      </c>
      <c r="R33" s="43" t="e">
        <f t="shared" si="18"/>
        <v>#NAME?</v>
      </c>
      <c r="S33" s="63" t="e">
        <f t="shared" si="19"/>
        <v>#NAME?</v>
      </c>
      <c r="T33" s="57" t="e">
        <f t="shared" si="20"/>
        <v>#NAME?</v>
      </c>
    </row>
    <row r="34" spans="2:44">
      <c r="B34" s="106" t="s">
        <v>15</v>
      </c>
      <c r="C34" s="152" t="e">
        <f>Flow_L_s/1000*86400</f>
        <v>#NAME?</v>
      </c>
      <c r="D34" s="107" t="s">
        <v>123</v>
      </c>
      <c r="F34" s="3">
        <v>3</v>
      </c>
      <c r="G34" s="4">
        <f t="shared" si="12"/>
        <v>682.97333333333324</v>
      </c>
      <c r="H34" s="41" t="e">
        <f t="shared" si="13"/>
        <v>#NAME?</v>
      </c>
      <c r="I34" s="42">
        <f t="shared" ref="I34:I55" si="23">I33+$I$57</f>
        <v>0.11666666666666667</v>
      </c>
      <c r="J34" s="87">
        <v>1.4329677615671948E-2</v>
      </c>
      <c r="K34" s="44" t="e">
        <f t="shared" si="14"/>
        <v>#NAME?</v>
      </c>
      <c r="L34" s="45" t="e">
        <f t="shared" si="15"/>
        <v>#NAME?</v>
      </c>
      <c r="M34" s="46" t="e">
        <f t="shared" si="16"/>
        <v>#NAME?</v>
      </c>
      <c r="N34" s="72" t="e">
        <f t="shared" si="17"/>
        <v>#NAME?</v>
      </c>
      <c r="O34" s="74" t="e">
        <f t="shared" si="21"/>
        <v>#NAME?</v>
      </c>
      <c r="P34" s="40">
        <f t="shared" si="22"/>
        <v>0.68297333333333321</v>
      </c>
      <c r="Q34" s="61">
        <v>7.9732961447604583E-5</v>
      </c>
      <c r="R34" s="43" t="e">
        <f t="shared" si="18"/>
        <v>#NAME?</v>
      </c>
      <c r="S34" s="63" t="e">
        <f t="shared" si="19"/>
        <v>#NAME?</v>
      </c>
      <c r="T34" s="57" t="e">
        <f t="shared" si="20"/>
        <v>#NAME?</v>
      </c>
    </row>
    <row r="35" spans="2:44" ht="17" thickBot="1">
      <c r="B35" s="120" t="s">
        <v>68</v>
      </c>
      <c r="F35" s="3">
        <v>4</v>
      </c>
      <c r="G35" s="4">
        <f t="shared" si="12"/>
        <v>683.38999999999987</v>
      </c>
      <c r="H35" s="41" t="e">
        <f t="shared" si="13"/>
        <v>#NAME?</v>
      </c>
      <c r="I35" s="42">
        <f t="shared" si="23"/>
        <v>0.125</v>
      </c>
      <c r="J35" s="87">
        <v>1.4471561316781416E-2</v>
      </c>
      <c r="K35" s="44" t="e">
        <f t="shared" si="14"/>
        <v>#NAME?</v>
      </c>
      <c r="L35" s="45" t="e">
        <f t="shared" si="15"/>
        <v>#NAME?</v>
      </c>
      <c r="M35" s="46" t="e">
        <f t="shared" si="16"/>
        <v>#NAME?</v>
      </c>
      <c r="N35" s="72" t="e">
        <f t="shared" si="17"/>
        <v>#NAME?</v>
      </c>
      <c r="O35" s="74" t="e">
        <f t="shared" si="21"/>
        <v>#NAME?</v>
      </c>
      <c r="P35" s="40">
        <f t="shared" si="22"/>
        <v>0.68338999999999983</v>
      </c>
      <c r="Q35" s="61">
        <v>7.9732961447604583E-5</v>
      </c>
      <c r="R35" s="43" t="e">
        <f t="shared" si="18"/>
        <v>#NAME?</v>
      </c>
      <c r="S35" s="63" t="e">
        <f t="shared" si="19"/>
        <v>#NAME?</v>
      </c>
      <c r="T35" s="57" t="e">
        <f t="shared" si="20"/>
        <v>#NAME?</v>
      </c>
    </row>
    <row r="36" spans="2:44" ht="17" thickBot="1">
      <c r="B36" s="106" t="s">
        <v>120</v>
      </c>
      <c r="C36" s="231">
        <f>PI()*(pipe_od_m^2-pipe_id_bare_yr_1^2)/4*Steel_density_kg_m3</f>
        <v>249.63889588122518</v>
      </c>
      <c r="D36" s="107" t="s">
        <v>69</v>
      </c>
      <c r="F36" s="3">
        <v>5</v>
      </c>
      <c r="G36" s="4">
        <f t="shared" si="12"/>
        <v>683.8066666666665</v>
      </c>
      <c r="H36" s="41" t="e">
        <f t="shared" si="13"/>
        <v>#NAME?</v>
      </c>
      <c r="I36" s="42">
        <f t="shared" si="23"/>
        <v>0.13333333333333333</v>
      </c>
      <c r="J36" s="87">
        <v>1.4608892760637511E-2</v>
      </c>
      <c r="K36" s="44" t="e">
        <f t="shared" si="14"/>
        <v>#NAME?</v>
      </c>
      <c r="L36" s="45" t="e">
        <f t="shared" si="15"/>
        <v>#NAME?</v>
      </c>
      <c r="M36" s="46" t="e">
        <f t="shared" si="16"/>
        <v>#NAME?</v>
      </c>
      <c r="N36" s="72" t="e">
        <f t="shared" si="17"/>
        <v>#NAME?</v>
      </c>
      <c r="O36" s="74" t="e">
        <f t="shared" si="21"/>
        <v>#NAME?</v>
      </c>
      <c r="P36" s="40">
        <f t="shared" si="22"/>
        <v>0.68380666666666645</v>
      </c>
      <c r="Q36" s="61">
        <v>7.9732961447604583E-5</v>
      </c>
      <c r="R36" s="43" t="e">
        <f t="shared" si="18"/>
        <v>#NAME?</v>
      </c>
      <c r="S36" s="63" t="e">
        <f t="shared" si="19"/>
        <v>#NAME?</v>
      </c>
      <c r="T36" s="57" t="e">
        <f t="shared" si="20"/>
        <v>#NAME?</v>
      </c>
    </row>
    <row r="37" spans="2:44">
      <c r="B37" s="106" t="s">
        <v>79</v>
      </c>
      <c r="C37" s="119" t="e">
        <f>C36*pipeline_length_m/1000</f>
        <v>#NAME?</v>
      </c>
      <c r="D37" s="107" t="s">
        <v>80</v>
      </c>
      <c r="F37" s="3">
        <v>6</v>
      </c>
      <c r="G37" s="4">
        <f t="shared" si="12"/>
        <v>684.22333333333302</v>
      </c>
      <c r="H37" s="41" t="e">
        <f t="shared" si="13"/>
        <v>#NAME?</v>
      </c>
      <c r="I37" s="42">
        <f t="shared" si="23"/>
        <v>0.14166666666666666</v>
      </c>
      <c r="J37" s="87">
        <v>1.4742014392398183E-2</v>
      </c>
      <c r="K37" s="44" t="e">
        <f t="shared" si="14"/>
        <v>#NAME?</v>
      </c>
      <c r="L37" s="45" t="e">
        <f t="shared" si="15"/>
        <v>#NAME?</v>
      </c>
      <c r="M37" s="46" t="e">
        <f t="shared" si="16"/>
        <v>#NAME?</v>
      </c>
      <c r="N37" s="72" t="e">
        <f t="shared" si="17"/>
        <v>#NAME?</v>
      </c>
      <c r="O37" s="74" t="e">
        <f t="shared" si="21"/>
        <v>#NAME?</v>
      </c>
      <c r="P37" s="40">
        <f t="shared" si="22"/>
        <v>0.68422333333333307</v>
      </c>
      <c r="Q37" s="61">
        <v>7.9732961447604583E-5</v>
      </c>
      <c r="R37" s="43" t="e">
        <f t="shared" si="18"/>
        <v>#NAME?</v>
      </c>
      <c r="S37" s="63" t="e">
        <f t="shared" si="19"/>
        <v>#NAME?</v>
      </c>
      <c r="T37" s="57" t="e">
        <f t="shared" si="20"/>
        <v>#NAME?</v>
      </c>
      <c r="AR37" s="5">
        <v>28170</v>
      </c>
    </row>
    <row r="38" spans="2:44">
      <c r="B38" s="121" t="s">
        <v>113</v>
      </c>
      <c r="C38" s="122" t="e">
        <f>Total_Steel_Price*C37/1000000</f>
        <v>#NAME?</v>
      </c>
      <c r="D38" s="123" t="s">
        <v>115</v>
      </c>
      <c r="F38" s="3">
        <v>7</v>
      </c>
      <c r="G38" s="4">
        <f t="shared" si="12"/>
        <v>684.63999999999965</v>
      </c>
      <c r="H38" s="41" t="e">
        <f t="shared" si="13"/>
        <v>#NAME?</v>
      </c>
      <c r="I38" s="42">
        <f t="shared" si="23"/>
        <v>0.15</v>
      </c>
      <c r="J38" s="87">
        <v>1.4871229412484196E-2</v>
      </c>
      <c r="K38" s="44" t="e">
        <f t="shared" si="14"/>
        <v>#NAME?</v>
      </c>
      <c r="L38" s="45" t="e">
        <f t="shared" si="15"/>
        <v>#NAME?</v>
      </c>
      <c r="M38" s="46" t="e">
        <f t="shared" si="16"/>
        <v>#NAME?</v>
      </c>
      <c r="N38" s="72" t="e">
        <f t="shared" si="17"/>
        <v>#NAME?</v>
      </c>
      <c r="O38" s="74" t="e">
        <f t="shared" si="21"/>
        <v>#NAME?</v>
      </c>
      <c r="P38" s="40">
        <f t="shared" si="22"/>
        <v>0.68463999999999969</v>
      </c>
      <c r="Q38" s="61">
        <v>7.9732961447604583E-5</v>
      </c>
      <c r="R38" s="43" t="e">
        <f t="shared" si="18"/>
        <v>#NAME?</v>
      </c>
      <c r="S38" s="63" t="e">
        <f t="shared" si="19"/>
        <v>#NAME?</v>
      </c>
      <c r="T38" s="57" t="e">
        <f t="shared" si="20"/>
        <v>#NAME?</v>
      </c>
      <c r="AR38" s="5">
        <v>3686</v>
      </c>
    </row>
    <row r="39" spans="2:44">
      <c r="B39" s="106" t="s">
        <v>118</v>
      </c>
      <c r="C39" s="107">
        <f>(diameter_mm-2*(wall_thickness_mm+corrosion_rate_mm_yr*Service_life_yr))/1000</f>
        <v>0.68213999999999997</v>
      </c>
      <c r="D39" s="107" t="s">
        <v>14</v>
      </c>
      <c r="F39" s="3">
        <v>8</v>
      </c>
      <c r="G39" s="4">
        <f t="shared" si="12"/>
        <v>685.05666666666627</v>
      </c>
      <c r="H39" s="41" t="e">
        <f t="shared" si="13"/>
        <v>#NAME?</v>
      </c>
      <c r="I39" s="42">
        <f t="shared" si="23"/>
        <v>0.15833333333333333</v>
      </c>
      <c r="J39" s="87">
        <v>1.4996807681334127E-2</v>
      </c>
      <c r="K39" s="44" t="e">
        <f t="shared" si="14"/>
        <v>#NAME?</v>
      </c>
      <c r="L39" s="45" t="e">
        <f t="shared" si="15"/>
        <v>#NAME?</v>
      </c>
      <c r="M39" s="46" t="e">
        <f t="shared" si="16"/>
        <v>#NAME?</v>
      </c>
      <c r="N39" s="72" t="e">
        <f t="shared" si="17"/>
        <v>#NAME?</v>
      </c>
      <c r="O39" s="74" t="e">
        <f t="shared" si="21"/>
        <v>#NAME?</v>
      </c>
      <c r="P39" s="40">
        <f t="shared" si="22"/>
        <v>0.68505666666666631</v>
      </c>
      <c r="Q39" s="61">
        <v>7.9732961447604583E-5</v>
      </c>
      <c r="R39" s="43" t="e">
        <f t="shared" si="18"/>
        <v>#NAME?</v>
      </c>
      <c r="S39" s="63" t="e">
        <f t="shared" si="19"/>
        <v>#NAME?</v>
      </c>
      <c r="T39" s="57" t="e">
        <f t="shared" si="20"/>
        <v>#NAME?</v>
      </c>
    </row>
    <row r="40" spans="2:44">
      <c r="B40" s="106" t="s">
        <v>118</v>
      </c>
      <c r="C40" s="107">
        <f>C39*1000</f>
        <v>682.14</v>
      </c>
      <c r="D40" s="107" t="s">
        <v>27</v>
      </c>
      <c r="F40" s="3">
        <v>9</v>
      </c>
      <c r="G40" s="4">
        <f t="shared" si="12"/>
        <v>685.4733333333329</v>
      </c>
      <c r="H40" s="41" t="e">
        <f t="shared" si="13"/>
        <v>#NAME?</v>
      </c>
      <c r="I40" s="42">
        <f t="shared" si="23"/>
        <v>0.16666666666666666</v>
      </c>
      <c r="J40" s="87">
        <v>1.5118990540954256E-2</v>
      </c>
      <c r="K40" s="44" t="e">
        <f t="shared" si="14"/>
        <v>#NAME?</v>
      </c>
      <c r="L40" s="45" t="e">
        <f t="shared" si="15"/>
        <v>#NAME?</v>
      </c>
      <c r="M40" s="46" t="e">
        <f t="shared" si="16"/>
        <v>#NAME?</v>
      </c>
      <c r="N40" s="72" t="e">
        <f t="shared" si="17"/>
        <v>#NAME?</v>
      </c>
      <c r="O40" s="74" t="e">
        <f t="shared" si="21"/>
        <v>#NAME?</v>
      </c>
      <c r="P40" s="40">
        <f t="shared" si="22"/>
        <v>0.68547333333333293</v>
      </c>
      <c r="Q40" s="61">
        <v>7.9732961447604583E-5</v>
      </c>
      <c r="R40" s="43" t="e">
        <f t="shared" si="18"/>
        <v>#NAME?</v>
      </c>
      <c r="S40" s="63" t="e">
        <f t="shared" si="19"/>
        <v>#NAME?</v>
      </c>
      <c r="T40" s="57" t="e">
        <f t="shared" si="20"/>
        <v>#NAME?</v>
      </c>
      <c r="AP40" s="47" t="e">
        <f>#REF!-#REF!</f>
        <v>#REF!</v>
      </c>
    </row>
    <row r="41" spans="2:44">
      <c r="B41" s="106" t="s">
        <v>153</v>
      </c>
      <c r="C41" s="107">
        <f>(diameter_mm-2*(wall_thickness_mm))/1000</f>
        <v>0.69213999999999998</v>
      </c>
      <c r="D41" s="107" t="s">
        <v>14</v>
      </c>
      <c r="E41" s="116"/>
      <c r="F41" s="3">
        <v>10</v>
      </c>
      <c r="G41" s="4">
        <f t="shared" si="12"/>
        <v>685.88999999999953</v>
      </c>
      <c r="H41" s="41" t="e">
        <f t="shared" si="13"/>
        <v>#NAME?</v>
      </c>
      <c r="I41" s="42">
        <f t="shared" si="23"/>
        <v>0.17499999999999999</v>
      </c>
      <c r="J41" s="87">
        <v>1.5237994785000786E-2</v>
      </c>
      <c r="K41" s="44" t="e">
        <f t="shared" si="14"/>
        <v>#NAME?</v>
      </c>
      <c r="L41" s="45" t="e">
        <f t="shared" si="15"/>
        <v>#NAME?</v>
      </c>
      <c r="M41" s="46" t="e">
        <f t="shared" si="16"/>
        <v>#NAME?</v>
      </c>
      <c r="N41" s="72" t="e">
        <f t="shared" si="17"/>
        <v>#NAME?</v>
      </c>
      <c r="O41" s="74" t="e">
        <f t="shared" si="21"/>
        <v>#NAME?</v>
      </c>
      <c r="P41" s="40">
        <f t="shared" si="22"/>
        <v>0.68588999999999956</v>
      </c>
      <c r="Q41" s="61">
        <v>7.9732961447604583E-5</v>
      </c>
      <c r="R41" s="43" t="e">
        <f t="shared" si="18"/>
        <v>#NAME?</v>
      </c>
      <c r="S41" s="63" t="e">
        <f t="shared" si="19"/>
        <v>#NAME?</v>
      </c>
      <c r="T41" s="57" t="e">
        <f t="shared" si="20"/>
        <v>#NAME?</v>
      </c>
    </row>
    <row r="42" spans="2:44">
      <c r="B42" s="106" t="s">
        <v>153</v>
      </c>
      <c r="C42" s="107">
        <f>C41*1000</f>
        <v>692.14</v>
      </c>
      <c r="D42" s="107" t="s">
        <v>27</v>
      </c>
      <c r="E42" s="116"/>
      <c r="F42" s="3">
        <v>11</v>
      </c>
      <c r="G42" s="4">
        <f t="shared" si="12"/>
        <v>686.30666666666616</v>
      </c>
      <c r="H42" s="41" t="e">
        <f t="shared" si="13"/>
        <v>#NAME?</v>
      </c>
      <c r="I42" s="42">
        <f t="shared" si="23"/>
        <v>0.18333333333333332</v>
      </c>
      <c r="J42" s="87">
        <v>1.5354015953000753E-2</v>
      </c>
      <c r="K42" s="44" t="e">
        <f t="shared" si="14"/>
        <v>#NAME?</v>
      </c>
      <c r="L42" s="45" t="e">
        <f t="shared" si="15"/>
        <v>#NAME?</v>
      </c>
      <c r="M42" s="46" t="e">
        <f t="shared" si="16"/>
        <v>#NAME?</v>
      </c>
      <c r="N42" s="72" t="e">
        <f t="shared" si="17"/>
        <v>#NAME?</v>
      </c>
      <c r="O42" s="74" t="e">
        <f t="shared" si="21"/>
        <v>#NAME?</v>
      </c>
      <c r="P42" s="40">
        <f t="shared" si="22"/>
        <v>0.68630666666666618</v>
      </c>
      <c r="Q42" s="61">
        <v>7.9732961447604583E-5</v>
      </c>
      <c r="R42" s="43" t="e">
        <f t="shared" si="18"/>
        <v>#NAME?</v>
      </c>
      <c r="S42" s="63" t="e">
        <f t="shared" si="19"/>
        <v>#NAME?</v>
      </c>
      <c r="T42" s="57" t="e">
        <f t="shared" si="20"/>
        <v>#NAME?</v>
      </c>
      <c r="V42" s="4" t="s">
        <v>188</v>
      </c>
    </row>
    <row r="43" spans="2:44">
      <c r="B43" s="106" t="s">
        <v>122</v>
      </c>
      <c r="C43" s="149" t="e">
        <f>E110</f>
        <v>#NAME?</v>
      </c>
      <c r="D43" s="107" t="s">
        <v>123</v>
      </c>
      <c r="E43" s="116"/>
      <c r="F43" s="3">
        <v>12</v>
      </c>
      <c r="G43" s="4">
        <f t="shared" si="12"/>
        <v>686.72333333333279</v>
      </c>
      <c r="H43" s="41" t="e">
        <f t="shared" si="13"/>
        <v>#NAME?</v>
      </c>
      <c r="I43" s="42">
        <f t="shared" si="23"/>
        <v>0.19166666666666665</v>
      </c>
      <c r="J43" s="87">
        <v>1.5467231083259449E-2</v>
      </c>
      <c r="K43" s="44" t="e">
        <f t="shared" si="14"/>
        <v>#NAME?</v>
      </c>
      <c r="L43" s="45" t="e">
        <f t="shared" si="15"/>
        <v>#NAME?</v>
      </c>
      <c r="M43" s="46" t="e">
        <f t="shared" si="16"/>
        <v>#NAME?</v>
      </c>
      <c r="N43" s="72" t="e">
        <f t="shared" si="17"/>
        <v>#NAME?</v>
      </c>
      <c r="O43" s="74" t="e">
        <f t="shared" si="21"/>
        <v>#NAME?</v>
      </c>
      <c r="P43" s="40">
        <f t="shared" si="22"/>
        <v>0.6867233333333328</v>
      </c>
      <c r="Q43" s="61">
        <v>7.9732961447604583E-5</v>
      </c>
      <c r="R43" s="43" t="e">
        <f t="shared" si="18"/>
        <v>#NAME?</v>
      </c>
      <c r="S43" s="63" t="e">
        <f t="shared" si="19"/>
        <v>#NAME?</v>
      </c>
      <c r="T43" s="57" t="e">
        <f t="shared" si="20"/>
        <v>#NAME?</v>
      </c>
    </row>
    <row r="44" spans="2:44">
      <c r="B44" s="106" t="s">
        <v>124</v>
      </c>
      <c r="C44" s="124" t="e">
        <f>C43*Supply_contingency</f>
        <v>#NAME?</v>
      </c>
      <c r="F44" s="3">
        <v>13</v>
      </c>
      <c r="G44" s="4">
        <f t="shared" si="12"/>
        <v>687.13999999999942</v>
      </c>
      <c r="H44" s="41" t="e">
        <f t="shared" si="13"/>
        <v>#NAME?</v>
      </c>
      <c r="I44" s="42">
        <f t="shared" si="23"/>
        <v>0.19999999999999998</v>
      </c>
      <c r="J44" s="87">
        <v>1.5577801028599556E-2</v>
      </c>
      <c r="K44" s="44" t="e">
        <f t="shared" si="14"/>
        <v>#NAME?</v>
      </c>
      <c r="L44" s="45" t="e">
        <f t="shared" si="15"/>
        <v>#NAME?</v>
      </c>
      <c r="M44" s="46" t="e">
        <f t="shared" si="16"/>
        <v>#NAME?</v>
      </c>
      <c r="N44" s="72" t="e">
        <f t="shared" si="17"/>
        <v>#NAME?</v>
      </c>
      <c r="O44" s="74" t="e">
        <f t="shared" si="21"/>
        <v>#NAME?</v>
      </c>
      <c r="P44" s="40">
        <f t="shared" si="22"/>
        <v>0.68713999999999942</v>
      </c>
      <c r="Q44" s="61">
        <v>7.9732961447604583E-5</v>
      </c>
      <c r="R44" s="43" t="e">
        <f t="shared" si="18"/>
        <v>#NAME?</v>
      </c>
      <c r="S44" s="63" t="e">
        <f t="shared" si="19"/>
        <v>#NAME?</v>
      </c>
      <c r="T44" s="57" t="e">
        <f t="shared" si="20"/>
        <v>#NAME?</v>
      </c>
      <c r="AP44" s="48" t="e">
        <f>#REF!*#REF!*#REF!</f>
        <v>#REF!</v>
      </c>
    </row>
    <row r="45" spans="2:44">
      <c r="B45" s="106" t="s">
        <v>143</v>
      </c>
      <c r="C45" s="110" t="e">
        <f>ROUNDUP(pipeline_length_m/pipe_segment_length_m,0)</f>
        <v>#NAME?</v>
      </c>
      <c r="F45" s="3">
        <v>14</v>
      </c>
      <c r="G45" s="4">
        <f t="shared" si="12"/>
        <v>687.55666666666605</v>
      </c>
      <c r="H45" s="41" t="e">
        <f t="shared" si="13"/>
        <v>#NAME?</v>
      </c>
      <c r="I45" s="42">
        <f t="shared" si="23"/>
        <v>0.20833333333333331</v>
      </c>
      <c r="J45" s="87">
        <v>1.5685872416308207E-2</v>
      </c>
      <c r="K45" s="44" t="e">
        <f t="shared" si="14"/>
        <v>#NAME?</v>
      </c>
      <c r="L45" s="45" t="e">
        <f t="shared" si="15"/>
        <v>#NAME?</v>
      </c>
      <c r="M45" s="46" t="e">
        <f t="shared" si="16"/>
        <v>#NAME?</v>
      </c>
      <c r="N45" s="72" t="e">
        <f t="shared" si="17"/>
        <v>#NAME?</v>
      </c>
      <c r="O45" s="74" t="e">
        <f t="shared" si="21"/>
        <v>#NAME?</v>
      </c>
      <c r="P45" s="40">
        <f t="shared" si="22"/>
        <v>0.68755666666666604</v>
      </c>
      <c r="Q45" s="61">
        <v>7.9732961447604583E-5</v>
      </c>
      <c r="R45" s="43" t="e">
        <f t="shared" si="18"/>
        <v>#NAME?</v>
      </c>
      <c r="S45" s="63" t="e">
        <f t="shared" si="19"/>
        <v>#NAME?</v>
      </c>
      <c r="T45" s="57" t="e">
        <f t="shared" si="20"/>
        <v>#NAME?</v>
      </c>
    </row>
    <row r="46" spans="2:44">
      <c r="F46" s="3">
        <v>15</v>
      </c>
      <c r="G46" s="4">
        <f t="shared" si="12"/>
        <v>687.97333333333268</v>
      </c>
      <c r="H46" s="41" t="e">
        <f t="shared" si="13"/>
        <v>#NAME?</v>
      </c>
      <c r="I46" s="42">
        <f t="shared" si="23"/>
        <v>0.21666666666666665</v>
      </c>
      <c r="J46" s="87">
        <v>1.5791579316437057E-2</v>
      </c>
      <c r="K46" s="44" t="e">
        <f t="shared" si="14"/>
        <v>#NAME?</v>
      </c>
      <c r="L46" s="45" t="e">
        <f t="shared" si="15"/>
        <v>#NAME?</v>
      </c>
      <c r="M46" s="46" t="e">
        <f t="shared" si="16"/>
        <v>#NAME?</v>
      </c>
      <c r="N46" s="72" t="e">
        <f t="shared" si="17"/>
        <v>#NAME?</v>
      </c>
      <c r="O46" s="74" t="e">
        <f t="shared" si="21"/>
        <v>#NAME?</v>
      </c>
      <c r="P46" s="40">
        <f t="shared" si="22"/>
        <v>0.68797333333333266</v>
      </c>
      <c r="Q46" s="61">
        <v>7.9732961447604583E-5</v>
      </c>
      <c r="R46" s="43" t="e">
        <f t="shared" si="18"/>
        <v>#NAME?</v>
      </c>
      <c r="S46" s="63" t="e">
        <f t="shared" si="19"/>
        <v>#NAME?</v>
      </c>
      <c r="T46" s="57" t="e">
        <f t="shared" si="20"/>
        <v>#NAME?</v>
      </c>
      <c r="AP46" s="5" t="e">
        <f>Thd_bare_m</f>
        <v>#NAME?</v>
      </c>
    </row>
    <row r="47" spans="2:44" ht="17" thickBot="1">
      <c r="B47" s="121" t="s">
        <v>116</v>
      </c>
      <c r="F47" s="3">
        <v>16</v>
      </c>
      <c r="G47" s="4">
        <f t="shared" si="12"/>
        <v>688.3899999999993</v>
      </c>
      <c r="H47" s="41" t="e">
        <f t="shared" si="13"/>
        <v>#NAME?</v>
      </c>
      <c r="I47" s="42">
        <f t="shared" si="23"/>
        <v>0.22499999999999998</v>
      </c>
      <c r="J47" s="87">
        <v>1.5895044669431663E-2</v>
      </c>
      <c r="K47" s="44" t="e">
        <f t="shared" si="14"/>
        <v>#NAME?</v>
      </c>
      <c r="L47" s="45" t="e">
        <f t="shared" si="15"/>
        <v>#NAME?</v>
      </c>
      <c r="M47" s="46" t="e">
        <f t="shared" si="16"/>
        <v>#NAME?</v>
      </c>
      <c r="N47" s="72" t="e">
        <f t="shared" si="17"/>
        <v>#NAME?</v>
      </c>
      <c r="O47" s="74" t="e">
        <f t="shared" si="21"/>
        <v>#NAME?</v>
      </c>
      <c r="P47" s="40">
        <f t="shared" si="22"/>
        <v>0.68838999999999928</v>
      </c>
      <c r="Q47" s="61">
        <v>7.9732961447604583E-5</v>
      </c>
      <c r="R47" s="43" t="e">
        <f t="shared" si="18"/>
        <v>#NAME?</v>
      </c>
      <c r="S47" s="63" t="e">
        <f t="shared" si="19"/>
        <v>#NAME?</v>
      </c>
      <c r="T47" s="57" t="e">
        <f t="shared" si="20"/>
        <v>#NAME?</v>
      </c>
    </row>
    <row r="48" spans="2:44" ht="17" thickBot="1">
      <c r="B48" s="106" t="s">
        <v>121</v>
      </c>
      <c r="C48" s="231">
        <f>PI()*(pipe_od_m^2-pipe_id_fbe_yr_1^2)/4*Steel_density_kg_m3</f>
        <v>164.90937232370834</v>
      </c>
      <c r="D48" s="107" t="s">
        <v>69</v>
      </c>
      <c r="F48" s="3">
        <v>17</v>
      </c>
      <c r="G48" s="4">
        <f t="shared" si="12"/>
        <v>688.80666666666593</v>
      </c>
      <c r="H48" s="41" t="e">
        <f t="shared" si="13"/>
        <v>#NAME?</v>
      </c>
      <c r="I48" s="42">
        <f t="shared" si="23"/>
        <v>0.23333333333333331</v>
      </c>
      <c r="J48" s="87">
        <v>1.599638151391131E-2</v>
      </c>
      <c r="K48" s="44" t="e">
        <f t="shared" si="14"/>
        <v>#NAME?</v>
      </c>
      <c r="L48" s="45" t="e">
        <f t="shared" si="15"/>
        <v>#NAME?</v>
      </c>
      <c r="M48" s="46" t="e">
        <f t="shared" si="16"/>
        <v>#NAME?</v>
      </c>
      <c r="N48" s="72" t="e">
        <f t="shared" si="17"/>
        <v>#NAME?</v>
      </c>
      <c r="O48" s="74" t="e">
        <f t="shared" si="21"/>
        <v>#NAME?</v>
      </c>
      <c r="P48" s="40">
        <f t="shared" si="22"/>
        <v>0.6888066666666659</v>
      </c>
      <c r="Q48" s="61">
        <v>7.9732961447604583E-5</v>
      </c>
      <c r="R48" s="43" t="e">
        <f t="shared" si="18"/>
        <v>#NAME?</v>
      </c>
      <c r="S48" s="63" t="e">
        <f t="shared" si="19"/>
        <v>#NAME?</v>
      </c>
      <c r="T48" s="57" t="e">
        <f t="shared" si="20"/>
        <v>#NAME?</v>
      </c>
    </row>
    <row r="49" spans="2:20">
      <c r="B49" s="106" t="s">
        <v>117</v>
      </c>
      <c r="C49" s="117" t="e">
        <f>C48*pipeline_length_m/1000</f>
        <v>#NAME?</v>
      </c>
      <c r="D49" s="107" t="s">
        <v>80</v>
      </c>
      <c r="F49" s="3">
        <v>18</v>
      </c>
      <c r="G49" s="4">
        <f t="shared" si="12"/>
        <v>689.22333333333256</v>
      </c>
      <c r="H49" s="41" t="e">
        <f t="shared" si="13"/>
        <v>#NAME?</v>
      </c>
      <c r="I49" s="42">
        <f t="shared" si="23"/>
        <v>0.24166666666666664</v>
      </c>
      <c r="J49" s="87">
        <v>1.6095694047521692E-2</v>
      </c>
      <c r="K49" s="44" t="e">
        <f t="shared" si="14"/>
        <v>#NAME?</v>
      </c>
      <c r="L49" s="45" t="e">
        <f t="shared" si="15"/>
        <v>#NAME?</v>
      </c>
      <c r="M49" s="46" t="e">
        <f t="shared" si="16"/>
        <v>#NAME?</v>
      </c>
      <c r="N49" s="72" t="e">
        <f t="shared" si="17"/>
        <v>#NAME?</v>
      </c>
      <c r="O49" s="74" t="e">
        <f t="shared" si="21"/>
        <v>#NAME?</v>
      </c>
      <c r="P49" s="40">
        <f t="shared" si="22"/>
        <v>0.68922333333333252</v>
      </c>
      <c r="Q49" s="61">
        <v>7.9732961447604583E-5</v>
      </c>
      <c r="R49" s="43" t="e">
        <f t="shared" si="18"/>
        <v>#NAME?</v>
      </c>
      <c r="S49" s="63" t="e">
        <f t="shared" si="19"/>
        <v>#NAME?</v>
      </c>
      <c r="T49" s="57" t="e">
        <f t="shared" si="20"/>
        <v>#NAME?</v>
      </c>
    </row>
    <row r="50" spans="2:20">
      <c r="B50" s="121" t="s">
        <v>113</v>
      </c>
      <c r="C50" s="122" t="e">
        <f>Total_Steel_Price*C49/1000000</f>
        <v>#NAME?</v>
      </c>
      <c r="D50" s="123" t="s">
        <v>115</v>
      </c>
      <c r="E50" s="107">
        <v>6.3326847116628944</v>
      </c>
      <c r="F50" s="3">
        <v>19</v>
      </c>
      <c r="G50" s="4">
        <f t="shared" si="12"/>
        <v>689.63999999999919</v>
      </c>
      <c r="H50" s="41" t="e">
        <f t="shared" si="13"/>
        <v>#NAME?</v>
      </c>
      <c r="I50" s="42">
        <f t="shared" si="23"/>
        <v>0.24999999999999997</v>
      </c>
      <c r="J50" s="87">
        <v>1.6193078547590764E-2</v>
      </c>
      <c r="K50" s="44" t="e">
        <f t="shared" si="14"/>
        <v>#NAME?</v>
      </c>
      <c r="L50" s="45" t="e">
        <f t="shared" si="15"/>
        <v>#NAME?</v>
      </c>
      <c r="M50" s="46" t="e">
        <f t="shared" si="16"/>
        <v>#NAME?</v>
      </c>
      <c r="N50" s="72" t="e">
        <f t="shared" si="17"/>
        <v>#NAME?</v>
      </c>
      <c r="O50" s="74" t="e">
        <f t="shared" si="21"/>
        <v>#NAME?</v>
      </c>
      <c r="P50" s="40">
        <f t="shared" si="22"/>
        <v>0.68963999999999914</v>
      </c>
      <c r="Q50" s="61">
        <v>7.9732961447604583E-5</v>
      </c>
      <c r="R50" s="43" t="e">
        <f t="shared" si="18"/>
        <v>#NAME?</v>
      </c>
      <c r="S50" s="63" t="e">
        <f t="shared" si="19"/>
        <v>#NAME?</v>
      </c>
      <c r="T50" s="57" t="e">
        <f t="shared" si="20"/>
        <v>#NAME?</v>
      </c>
    </row>
    <row r="51" spans="2:20">
      <c r="B51" s="106" t="s">
        <v>119</v>
      </c>
      <c r="C51" s="107">
        <f>pipe_id_fbe_yr_1</f>
        <v>0.69213999999999998</v>
      </c>
      <c r="D51" s="107" t="s">
        <v>14</v>
      </c>
      <c r="F51" s="3">
        <v>20</v>
      </c>
      <c r="G51" s="4">
        <f t="shared" si="12"/>
        <v>690.05666666666582</v>
      </c>
      <c r="H51" s="41" t="e">
        <f t="shared" si="13"/>
        <v>#NAME?</v>
      </c>
      <c r="I51" s="42">
        <f t="shared" si="23"/>
        <v>0.2583333333333333</v>
      </c>
      <c r="J51" s="87">
        <v>1.6288624173427149E-2</v>
      </c>
      <c r="K51" s="44" t="e">
        <f t="shared" si="14"/>
        <v>#NAME?</v>
      </c>
      <c r="L51" s="45" t="e">
        <f t="shared" si="15"/>
        <v>#NAME?</v>
      </c>
      <c r="M51" s="46" t="e">
        <f t="shared" si="16"/>
        <v>#NAME?</v>
      </c>
      <c r="N51" s="72" t="e">
        <f t="shared" si="17"/>
        <v>#NAME?</v>
      </c>
      <c r="O51" s="74" t="e">
        <f t="shared" si="21"/>
        <v>#NAME?</v>
      </c>
      <c r="P51" s="40">
        <f t="shared" si="22"/>
        <v>0.69005666666666576</v>
      </c>
      <c r="Q51" s="61">
        <v>7.9732961447604583E-5</v>
      </c>
      <c r="R51" s="43" t="e">
        <f t="shared" si="18"/>
        <v>#NAME?</v>
      </c>
      <c r="S51" s="63" t="e">
        <f t="shared" si="19"/>
        <v>#NAME?</v>
      </c>
      <c r="T51" s="57" t="e">
        <f t="shared" si="20"/>
        <v>#NAME?</v>
      </c>
    </row>
    <row r="52" spans="2:20">
      <c r="B52" s="106" t="s">
        <v>119</v>
      </c>
      <c r="C52" s="107">
        <f>C51*1000</f>
        <v>692.14</v>
      </c>
      <c r="D52" s="107" t="s">
        <v>27</v>
      </c>
      <c r="F52" s="3">
        <v>21</v>
      </c>
      <c r="G52" s="4">
        <f t="shared" si="12"/>
        <v>690.47333333333233</v>
      </c>
      <c r="H52" s="41" t="e">
        <f t="shared" si="13"/>
        <v>#NAME?</v>
      </c>
      <c r="I52" s="42">
        <f t="shared" si="23"/>
        <v>0.26666666666666666</v>
      </c>
      <c r="J52" s="87">
        <v>1.6382413668210121E-2</v>
      </c>
      <c r="K52" s="44" t="e">
        <f t="shared" si="14"/>
        <v>#NAME?</v>
      </c>
      <c r="L52" s="45" t="e">
        <f t="shared" si="15"/>
        <v>#NAME?</v>
      </c>
      <c r="M52" s="46" t="e">
        <f t="shared" si="16"/>
        <v>#NAME?</v>
      </c>
      <c r="N52" s="72" t="e">
        <f t="shared" si="17"/>
        <v>#NAME?</v>
      </c>
      <c r="O52" s="74" t="e">
        <f t="shared" si="21"/>
        <v>#NAME?</v>
      </c>
      <c r="P52" s="40">
        <f t="shared" si="22"/>
        <v>0.69047333333333238</v>
      </c>
      <c r="Q52" s="61">
        <v>7.9732961447604583E-5</v>
      </c>
      <c r="R52" s="43" t="e">
        <f t="shared" si="18"/>
        <v>#NAME?</v>
      </c>
      <c r="S52" s="63" t="e">
        <f t="shared" si="19"/>
        <v>#NAME?</v>
      </c>
      <c r="T52" s="57" t="e">
        <f t="shared" si="20"/>
        <v>#NAME?</v>
      </c>
    </row>
    <row r="53" spans="2:20">
      <c r="F53" s="3">
        <v>22</v>
      </c>
      <c r="G53" s="4">
        <f t="shared" si="12"/>
        <v>690.88999999999896</v>
      </c>
      <c r="H53" s="41" t="e">
        <f t="shared" si="13"/>
        <v>#NAME?</v>
      </c>
      <c r="I53" s="42">
        <f t="shared" si="23"/>
        <v>0.27500000000000002</v>
      </c>
      <c r="J53" s="87">
        <v>1.6474523975305515E-2</v>
      </c>
      <c r="K53" s="44" t="e">
        <f t="shared" si="14"/>
        <v>#NAME?</v>
      </c>
      <c r="L53" s="45" t="e">
        <f t="shared" si="15"/>
        <v>#NAME?</v>
      </c>
      <c r="M53" s="46" t="e">
        <f t="shared" si="16"/>
        <v>#NAME?</v>
      </c>
      <c r="N53" s="72" t="e">
        <f t="shared" si="17"/>
        <v>#NAME?</v>
      </c>
      <c r="O53" s="74" t="e">
        <f t="shared" si="21"/>
        <v>#NAME?</v>
      </c>
      <c r="P53" s="40">
        <f t="shared" si="22"/>
        <v>0.690889999999999</v>
      </c>
      <c r="Q53" s="61">
        <v>7.9732961447604583E-5</v>
      </c>
      <c r="R53" s="43" t="e">
        <f t="shared" si="18"/>
        <v>#NAME?</v>
      </c>
      <c r="S53" s="63" t="e">
        <f t="shared" si="19"/>
        <v>#NAME?</v>
      </c>
      <c r="T53" s="57" t="e">
        <f t="shared" si="20"/>
        <v>#NAME?</v>
      </c>
    </row>
    <row r="54" spans="2:20" ht="17" thickBot="1">
      <c r="B54" s="125" t="s">
        <v>125</v>
      </c>
      <c r="C54" s="125" t="s">
        <v>126</v>
      </c>
      <c r="F54" s="3">
        <v>23</v>
      </c>
      <c r="G54" s="4">
        <f t="shared" si="12"/>
        <v>691.30666666666559</v>
      </c>
      <c r="H54" s="41" t="e">
        <f t="shared" si="13"/>
        <v>#NAME?</v>
      </c>
      <c r="I54" s="42">
        <f t="shared" si="23"/>
        <v>0.28333333333333338</v>
      </c>
      <c r="J54" s="87">
        <v>1.656502678133228E-2</v>
      </c>
      <c r="K54" s="44" t="e">
        <f t="shared" si="14"/>
        <v>#NAME?</v>
      </c>
      <c r="L54" s="45" t="e">
        <f t="shared" si="15"/>
        <v>#NAME?</v>
      </c>
      <c r="M54" s="46" t="e">
        <f t="shared" si="16"/>
        <v>#NAME?</v>
      </c>
      <c r="N54" s="72" t="e">
        <f t="shared" si="17"/>
        <v>#NAME?</v>
      </c>
      <c r="O54" s="74" t="e">
        <f t="shared" si="21"/>
        <v>#NAME?</v>
      </c>
      <c r="P54" s="40">
        <f t="shared" si="22"/>
        <v>0.69130666666666563</v>
      </c>
      <c r="Q54" s="61">
        <v>7.9732961447604583E-5</v>
      </c>
      <c r="R54" s="43" t="e">
        <f t="shared" si="18"/>
        <v>#NAME?</v>
      </c>
      <c r="S54" s="63" t="e">
        <f t="shared" si="19"/>
        <v>#NAME?</v>
      </c>
      <c r="T54" s="57" t="e">
        <f t="shared" si="20"/>
        <v>#NAME?</v>
      </c>
    </row>
    <row r="55" spans="2:20">
      <c r="B55" s="126" t="s">
        <v>127</v>
      </c>
      <c r="C55" s="127">
        <f>$C$60*D55</f>
        <v>2.4500000000000002</v>
      </c>
      <c r="D55" s="128">
        <v>0.35000000000000003</v>
      </c>
      <c r="F55" s="3">
        <v>24</v>
      </c>
      <c r="G55" s="4">
        <f t="shared" si="12"/>
        <v>691.72333333333222</v>
      </c>
      <c r="H55" s="41" t="e">
        <f t="shared" si="13"/>
        <v>#NAME?</v>
      </c>
      <c r="I55" s="42">
        <f t="shared" si="23"/>
        <v>0.29166666666666674</v>
      </c>
      <c r="J55" s="87">
        <v>1.6653988996270391E-2</v>
      </c>
      <c r="K55" s="44" t="e">
        <f t="shared" si="14"/>
        <v>#NAME?</v>
      </c>
      <c r="L55" s="45" t="e">
        <f t="shared" si="15"/>
        <v>#NAME?</v>
      </c>
      <c r="M55" s="46" t="e">
        <f t="shared" si="16"/>
        <v>#NAME?</v>
      </c>
      <c r="N55" s="72" t="e">
        <f t="shared" si="17"/>
        <v>#NAME?</v>
      </c>
      <c r="O55" s="74" t="e">
        <f t="shared" si="21"/>
        <v>#NAME?</v>
      </c>
      <c r="P55" s="40">
        <f t="shared" si="22"/>
        <v>0.69172333333333225</v>
      </c>
      <c r="Q55" s="61">
        <v>7.9732961447604583E-5</v>
      </c>
      <c r="R55" s="43" t="e">
        <f t="shared" si="18"/>
        <v>#NAME?</v>
      </c>
      <c r="S55" s="63" t="e">
        <f t="shared" si="19"/>
        <v>#NAME?</v>
      </c>
      <c r="T55" s="57" t="e">
        <f t="shared" si="20"/>
        <v>#NAME?</v>
      </c>
    </row>
    <row r="56" spans="2:20">
      <c r="B56" s="126" t="s">
        <v>128</v>
      </c>
      <c r="C56" s="127">
        <f>$C$60*D56</f>
        <v>1.75</v>
      </c>
      <c r="D56" s="128">
        <v>0.25</v>
      </c>
      <c r="F56" s="3">
        <v>25</v>
      </c>
      <c r="G56" s="4">
        <f t="shared" si="12"/>
        <v>692.14</v>
      </c>
      <c r="H56" s="41" t="e">
        <f t="shared" si="13"/>
        <v>#NAME?</v>
      </c>
      <c r="I56" s="42">
        <f>roughness_bare_pipe_yr_25</f>
        <v>0.3</v>
      </c>
      <c r="J56" s="87">
        <v>1.674147317924336E-2</v>
      </c>
      <c r="K56" s="44" t="e">
        <f t="shared" si="14"/>
        <v>#NAME?</v>
      </c>
      <c r="L56" s="45" t="e">
        <f t="shared" si="15"/>
        <v>#NAME?</v>
      </c>
      <c r="M56" s="46" t="e">
        <f t="shared" si="16"/>
        <v>#NAME?</v>
      </c>
      <c r="N56" s="73" t="e">
        <f t="shared" si="17"/>
        <v>#NAME?</v>
      </c>
      <c r="O56" s="74" t="e">
        <f t="shared" si="21"/>
        <v>#NAME?</v>
      </c>
      <c r="P56" s="40">
        <f>C41</f>
        <v>0.69213999999999998</v>
      </c>
      <c r="Q56" s="61">
        <v>7.9732961447604583E-5</v>
      </c>
      <c r="R56" s="43" t="e">
        <f t="shared" si="18"/>
        <v>#NAME?</v>
      </c>
      <c r="S56" s="63" t="e">
        <f t="shared" si="19"/>
        <v>#NAME?</v>
      </c>
      <c r="T56" s="57" t="e">
        <f t="shared" si="20"/>
        <v>#NAME?</v>
      </c>
    </row>
    <row r="57" spans="2:20">
      <c r="B57" s="126" t="s">
        <v>129</v>
      </c>
      <c r="C57" s="127">
        <f>$C$60*D57</f>
        <v>1.05</v>
      </c>
      <c r="D57" s="128">
        <v>0.15</v>
      </c>
      <c r="E57" s="107">
        <v>36</v>
      </c>
      <c r="I57" s="49">
        <f>(I56-I32)/24</f>
        <v>8.3333333333333332E-3</v>
      </c>
      <c r="N57" s="88" t="e">
        <f>NPV(discount_rate/100,N32:N56)</f>
        <v>#NAME?</v>
      </c>
      <c r="P57" s="49">
        <f>(P56-P32)/24</f>
        <v>4.1666666666666702E-4</v>
      </c>
    </row>
    <row r="58" spans="2:20">
      <c r="B58" s="126" t="s">
        <v>130</v>
      </c>
      <c r="C58" s="127">
        <f>$C$60*D58</f>
        <v>0.7</v>
      </c>
      <c r="D58" s="128">
        <v>9.9999999999999992E-2</v>
      </c>
      <c r="E58" s="107">
        <f>E57*25.4</f>
        <v>914.4</v>
      </c>
    </row>
    <row r="59" spans="2:20" ht="17" thickBot="1">
      <c r="B59" s="126" t="s">
        <v>131</v>
      </c>
      <c r="C59" s="127">
        <f>$C$60*D59</f>
        <v>1.05</v>
      </c>
      <c r="D59" s="128">
        <v>0.15</v>
      </c>
      <c r="E59" s="129">
        <v>9.5299999999999994</v>
      </c>
      <c r="N59" s="89" t="e">
        <f>N57-Table5[[#Totals],[OPEX]]</f>
        <v>#NAME?</v>
      </c>
    </row>
    <row r="60" spans="2:20">
      <c r="B60" s="130" t="s">
        <v>61</v>
      </c>
      <c r="C60" s="131">
        <v>7</v>
      </c>
      <c r="E60" s="150">
        <f>(E58-2*E59)/2/1000</f>
        <v>0.44767000000000001</v>
      </c>
    </row>
    <row r="61" spans="2:20">
      <c r="B61" s="106" t="s">
        <v>196</v>
      </c>
      <c r="C61" s="150">
        <f xml:space="preserve"> Encalada_cost_FBE_per_m_32_in/(2 * PI() * E60)</f>
        <v>44.439805853612967</v>
      </c>
      <c r="D61" s="107" t="s">
        <v>197</v>
      </c>
      <c r="E61" s="107">
        <v>125</v>
      </c>
    </row>
    <row r="62" spans="2:20">
      <c r="B62" s="106" t="s">
        <v>195</v>
      </c>
      <c r="C62" s="107">
        <f>AVERAGE(161,108)</f>
        <v>134.5</v>
      </c>
      <c r="D62" s="107" t="s">
        <v>197</v>
      </c>
      <c r="G62" s="4" t="s">
        <v>164</v>
      </c>
      <c r="H62" s="92" t="s">
        <v>12</v>
      </c>
      <c r="I62" s="92" t="s">
        <v>187</v>
      </c>
    </row>
    <row r="63" spans="2:20">
      <c r="B63" s="106" t="s">
        <v>194</v>
      </c>
      <c r="C63" s="110" t="e">
        <f>PI()*(pipe_od_m-(2*wall_thickness_mm/1000))*pipeline_length_m</f>
        <v>#NAME?</v>
      </c>
      <c r="D63" s="107" t="s">
        <v>132</v>
      </c>
      <c r="G63" s="337" t="s">
        <v>162</v>
      </c>
      <c r="H63" s="93" t="s">
        <v>168</v>
      </c>
      <c r="I63" s="94" t="e">
        <f>inspections_bare_PV/1000000</f>
        <v>#NAME?</v>
      </c>
    </row>
    <row r="64" spans="2:20">
      <c r="B64" s="121" t="s">
        <v>133</v>
      </c>
      <c r="C64" s="132" t="e">
        <f>FBE_inner_area_m2*FBE_cost_per_m2</f>
        <v>#NAME?</v>
      </c>
      <c r="E64" s="151" t="e">
        <f>FBE_coating_capex/1000000/FBE_steel_capex</f>
        <v>#NAME?</v>
      </c>
      <c r="G64" s="337"/>
      <c r="H64" s="91" t="s">
        <v>172</v>
      </c>
      <c r="I64" s="90" t="e">
        <f>bare_opex_NPV</f>
        <v>#NAME?</v>
      </c>
    </row>
    <row r="65" spans="2:10">
      <c r="G65" s="337"/>
      <c r="H65" s="91" t="s">
        <v>46</v>
      </c>
      <c r="I65" s="90" t="e">
        <f>corrosion_opex_PV/1000000</f>
        <v>#NAME?</v>
      </c>
    </row>
    <row r="66" spans="2:10" ht="17" thickBot="1">
      <c r="B66" s="133" t="s">
        <v>134</v>
      </c>
      <c r="C66" s="134" t="s">
        <v>135</v>
      </c>
      <c r="G66" s="330" t="s">
        <v>163</v>
      </c>
      <c r="H66" s="91" t="s">
        <v>168</v>
      </c>
      <c r="I66" s="90" t="e">
        <f>inspections_FBE_PV/1000000</f>
        <v>#NAME?</v>
      </c>
    </row>
    <row r="67" spans="2:10">
      <c r="B67" s="126" t="s">
        <v>136</v>
      </c>
      <c r="C67" s="127">
        <f t="shared" ref="C67:C72" si="24">$C$73*D67</f>
        <v>25.826086956521738</v>
      </c>
      <c r="D67" s="135">
        <v>2.3478260869565216E-2</v>
      </c>
      <c r="G67" s="330"/>
      <c r="H67" s="95" t="s">
        <v>172</v>
      </c>
      <c r="I67" s="96" t="e" cm="1">
        <f t="array" ref="I67">FBE_opex_NPV</f>
        <v>#NAME?</v>
      </c>
    </row>
    <row r="68" spans="2:10">
      <c r="B68" s="126" t="s">
        <v>137</v>
      </c>
      <c r="C68" s="127">
        <f t="shared" si="24"/>
        <v>15.304347826086957</v>
      </c>
      <c r="D68" s="135">
        <v>1.391304347826087E-2</v>
      </c>
    </row>
    <row r="69" spans="2:10">
      <c r="B69" s="126" t="s">
        <v>138</v>
      </c>
      <c r="C69" s="127">
        <f t="shared" si="24"/>
        <v>599.73913043478262</v>
      </c>
      <c r="D69" s="135">
        <v>0.54521739130434788</v>
      </c>
      <c r="G69" s="100" t="s">
        <v>189</v>
      </c>
      <c r="H69" s="101" t="s">
        <v>159</v>
      </c>
      <c r="I69" s="101" t="s">
        <v>165</v>
      </c>
    </row>
    <row r="70" spans="2:10">
      <c r="B70" s="126" t="s">
        <v>139</v>
      </c>
      <c r="C70" s="127">
        <f t="shared" si="24"/>
        <v>177.91304347826087</v>
      </c>
      <c r="D70" s="135">
        <v>0.16173913043478261</v>
      </c>
      <c r="G70" s="100" t="s">
        <v>166</v>
      </c>
      <c r="H70" s="97" t="e">
        <f>I64</f>
        <v>#NAME?</v>
      </c>
      <c r="I70" s="97" t="e" cm="1">
        <f t="array" ref="I70">FBE_opex_NPV</f>
        <v>#NAME?</v>
      </c>
    </row>
    <row r="71" spans="2:10">
      <c r="B71" s="126" t="s">
        <v>140</v>
      </c>
      <c r="C71" s="127">
        <f t="shared" si="24"/>
        <v>215.21739130434784</v>
      </c>
      <c r="D71" s="135">
        <v>0.19565217391304349</v>
      </c>
      <c r="G71" s="100" t="s">
        <v>169</v>
      </c>
      <c r="H71" s="97" t="e">
        <f>bare_steel_capex</f>
        <v>#NAME?</v>
      </c>
      <c r="I71" s="97" t="e">
        <f>FBE_steel_capex</f>
        <v>#NAME?</v>
      </c>
    </row>
    <row r="72" spans="2:10" ht="17" thickBot="1">
      <c r="B72" s="126" t="s">
        <v>141</v>
      </c>
      <c r="C72" s="127">
        <f t="shared" si="24"/>
        <v>57.391304347826086</v>
      </c>
      <c r="D72" s="135">
        <v>5.2173913043478258E-2</v>
      </c>
      <c r="G72" s="100" t="s">
        <v>191</v>
      </c>
      <c r="H72" s="97" t="e">
        <f>H80</f>
        <v>#NAME?</v>
      </c>
      <c r="I72" s="105" t="s">
        <v>190</v>
      </c>
    </row>
    <row r="73" spans="2:10">
      <c r="B73" s="136" t="s">
        <v>142</v>
      </c>
      <c r="C73" s="137">
        <v>1100</v>
      </c>
      <c r="D73" s="138"/>
      <c r="G73" s="100" t="s">
        <v>171</v>
      </c>
      <c r="H73" s="105" t="s">
        <v>190</v>
      </c>
      <c r="I73" s="97" t="e">
        <f>robotic_internal_coating_service_CAPEX/1000000</f>
        <v>#NAME?</v>
      </c>
    </row>
    <row r="74" spans="2:10">
      <c r="D74" s="138"/>
      <c r="G74" s="100" t="s">
        <v>170</v>
      </c>
      <c r="H74" s="105" t="s">
        <v>190</v>
      </c>
      <c r="I74" s="97" t="e">
        <f>FBE_coating_capex/1000000</f>
        <v>#NAME?</v>
      </c>
    </row>
    <row r="75" spans="2:10">
      <c r="B75" s="139" t="s">
        <v>173</v>
      </c>
      <c r="C75" s="140" t="e">
        <f>robotic_internal_coating_service*pipe_total_joints</f>
        <v>#NAME?</v>
      </c>
      <c r="D75" s="138"/>
      <c r="G75" s="100" t="s">
        <v>192</v>
      </c>
      <c r="H75" s="97" t="e">
        <f>I63</f>
        <v>#NAME?</v>
      </c>
      <c r="I75" s="97" t="e">
        <f>I66</f>
        <v>#NAME?</v>
      </c>
    </row>
    <row r="76" spans="2:10">
      <c r="D76" s="138"/>
      <c r="G76" s="100" t="s">
        <v>186</v>
      </c>
      <c r="H76" s="97" t="e">
        <f>bare_dosing_plant_CAPEX/1000000</f>
        <v>#NAME?</v>
      </c>
      <c r="I76" s="105" t="s">
        <v>190</v>
      </c>
    </row>
    <row r="77" spans="2:10">
      <c r="B77" s="106" t="s">
        <v>144</v>
      </c>
      <c r="C77" s="110">
        <f>15+120+35</f>
        <v>170</v>
      </c>
      <c r="D77" s="138"/>
      <c r="G77" s="100" t="s">
        <v>61</v>
      </c>
      <c r="H77" s="97" t="e">
        <f>SUM(H70:H76)</f>
        <v>#NAME?</v>
      </c>
      <c r="I77" s="97" t="e">
        <f>SUM(I70:I76)</f>
        <v>#NAME?</v>
      </c>
      <c r="J77" s="89" t="e">
        <f>H77-I77</f>
        <v>#NAME?</v>
      </c>
    </row>
    <row r="78" spans="2:10">
      <c r="B78" s="106" t="s">
        <v>145</v>
      </c>
      <c r="C78" s="110">
        <f>C79</f>
        <v>625</v>
      </c>
      <c r="D78" s="138"/>
    </row>
    <row r="79" spans="2:10">
      <c r="B79" s="106" t="s">
        <v>146</v>
      </c>
      <c r="C79" s="110">
        <f>hrc_price</f>
        <v>625</v>
      </c>
      <c r="D79" s="138"/>
      <c r="G79" s="98" t="s">
        <v>189</v>
      </c>
      <c r="H79" s="99" t="s">
        <v>159</v>
      </c>
      <c r="I79" s="99" t="s">
        <v>165</v>
      </c>
    </row>
    <row r="80" spans="2:10">
      <c r="B80" s="106" t="s">
        <v>147</v>
      </c>
      <c r="C80" s="110">
        <f>SUM(C77:C79)</f>
        <v>1420</v>
      </c>
      <c r="D80" s="138"/>
      <c r="G80" s="98" t="s">
        <v>167</v>
      </c>
      <c r="H80" s="97" t="e">
        <f>corrosion_opex_PV/1000000</f>
        <v>#NAME?</v>
      </c>
      <c r="I80" s="97"/>
    </row>
    <row r="81" spans="2:10">
      <c r="D81" s="138"/>
      <c r="G81" s="98" t="s">
        <v>169</v>
      </c>
      <c r="H81" s="97" t="e">
        <f>bare_steel_capex-FBE_steel_capex</f>
        <v>#NAME?</v>
      </c>
      <c r="I81" s="97"/>
    </row>
    <row r="82" spans="2:10" ht="17" thickBot="1">
      <c r="B82" s="155" t="s">
        <v>148</v>
      </c>
      <c r="C82" s="155" t="s">
        <v>149</v>
      </c>
      <c r="D82" s="156" t="s">
        <v>212</v>
      </c>
      <c r="G82" s="98" t="s">
        <v>166</v>
      </c>
      <c r="H82" s="97" t="e">
        <f>I64-I67</f>
        <v>#NAME?</v>
      </c>
      <c r="I82" s="97"/>
    </row>
    <row r="83" spans="2:10" ht="18" thickTop="1" thickBot="1">
      <c r="B83" s="141" t="s">
        <v>54</v>
      </c>
      <c r="C83" s="142">
        <f t="shared" ref="C83:C88" si="25">E83*$C$89</f>
        <v>54.193548387096776</v>
      </c>
      <c r="D83" s="154">
        <f t="shared" ref="D83:D88" si="26">E83*$D$89</f>
        <v>2.0908004778972519E-2</v>
      </c>
      <c r="E83" s="135">
        <v>0.45161290322580644</v>
      </c>
      <c r="G83" s="98" t="s">
        <v>168</v>
      </c>
      <c r="H83" s="97" t="e">
        <f>I63-I66</f>
        <v>#NAME?</v>
      </c>
      <c r="I83" s="97"/>
    </row>
    <row r="84" spans="2:10" ht="17" thickBot="1">
      <c r="B84" s="141" t="s">
        <v>57</v>
      </c>
      <c r="C84" s="142">
        <f t="shared" si="25"/>
        <v>38.70967741935484</v>
      </c>
      <c r="D84" s="154">
        <f t="shared" si="26"/>
        <v>1.4934289127837513E-2</v>
      </c>
      <c r="E84" s="135">
        <v>0.32258064516129031</v>
      </c>
      <c r="G84" s="98" t="s">
        <v>186</v>
      </c>
      <c r="H84" s="97" t="e">
        <f>bare_dosing_plant_CAPEX/1000000</f>
        <v>#NAME?</v>
      </c>
      <c r="I84" s="97"/>
    </row>
    <row r="85" spans="2:10" ht="17" thickBot="1">
      <c r="B85" s="141" t="s">
        <v>60</v>
      </c>
      <c r="C85" s="142">
        <f t="shared" si="25"/>
        <v>6.967741935483871</v>
      </c>
      <c r="D85" s="154">
        <f t="shared" si="26"/>
        <v>2.6881720430107525E-3</v>
      </c>
      <c r="E85" s="135">
        <v>5.8064516129032261E-2</v>
      </c>
      <c r="G85" s="98" t="s">
        <v>171</v>
      </c>
      <c r="H85" s="97"/>
      <c r="I85" s="97" t="e">
        <f>robotic_internal_coating_service_CAPEX/1000000</f>
        <v>#NAME?</v>
      </c>
    </row>
    <row r="86" spans="2:10" ht="17" thickBot="1">
      <c r="B86" s="141" t="s">
        <v>62</v>
      </c>
      <c r="C86" s="142">
        <f t="shared" si="25"/>
        <v>2.3225806451612905</v>
      </c>
      <c r="D86" s="154">
        <f t="shared" si="26"/>
        <v>8.960573476702509E-4</v>
      </c>
      <c r="E86" s="135">
        <v>1.935483870967742E-2</v>
      </c>
      <c r="G86" s="98" t="s">
        <v>170</v>
      </c>
      <c r="H86" s="97"/>
      <c r="I86" s="97" t="e">
        <f>FBE_coating_capex/1000000</f>
        <v>#NAME?</v>
      </c>
    </row>
    <row r="87" spans="2:10" ht="17" thickBot="1">
      <c r="B87" s="141" t="s">
        <v>64</v>
      </c>
      <c r="C87" s="142">
        <f t="shared" si="25"/>
        <v>3.870967741935484</v>
      </c>
      <c r="D87" s="154">
        <f t="shared" si="26"/>
        <v>1.4934289127837513E-3</v>
      </c>
      <c r="E87" s="135">
        <v>3.2258064516129031E-2</v>
      </c>
      <c r="G87" s="98" t="s">
        <v>61</v>
      </c>
      <c r="H87" s="97" t="e">
        <f>SUM(H82:H84)</f>
        <v>#NAME?</v>
      </c>
      <c r="I87" s="97">
        <f>SUM(I82:I84)</f>
        <v>0</v>
      </c>
      <c r="J87" s="97" t="e">
        <f>H87-I87</f>
        <v>#NAME?</v>
      </c>
    </row>
    <row r="88" spans="2:10" ht="17" thickBot="1">
      <c r="B88" s="141" t="s">
        <v>67</v>
      </c>
      <c r="C88" s="142">
        <f t="shared" si="25"/>
        <v>13.935483870967742</v>
      </c>
      <c r="D88" s="154">
        <f t="shared" si="26"/>
        <v>5.3763440860215049E-3</v>
      </c>
      <c r="E88" s="135">
        <v>0.11612903225806452</v>
      </c>
    </row>
    <row r="89" spans="2:10">
      <c r="B89" s="143" t="s">
        <v>61</v>
      </c>
      <c r="C89" s="144">
        <v>120</v>
      </c>
      <c r="D89" s="153">
        <f>(inhibitors_per_L_s*1000)/(30*24*60*60)</f>
        <v>4.6296296296296294E-2</v>
      </c>
    </row>
    <row r="90" spans="2:10">
      <c r="C90" s="110" t="e">
        <f>Flow_L_s*31536000/1000</f>
        <v>#NAME?</v>
      </c>
      <c r="D90" s="148" t="e">
        <f>m3_per_year*chem_inj_total</f>
        <v>#NAME?</v>
      </c>
      <c r="E90" s="147" t="e">
        <f>-PV(discount_rate/100,25,opex_chem_yr)</f>
        <v>#NAME?</v>
      </c>
    </row>
    <row r="91" spans="2:10">
      <c r="B91" s="145" t="s">
        <v>174</v>
      </c>
      <c r="C91" s="146" t="e">
        <f>inhibitors_per_L_s*Flow_L_s*12</f>
        <v>#NAME?</v>
      </c>
      <c r="D91" s="147" t="e">
        <f>-PV(discount_rate/100,25,corrosion_opex_yr)</f>
        <v>#NAME?</v>
      </c>
    </row>
    <row r="94" spans="2:10">
      <c r="B94" s="106" t="s">
        <v>152</v>
      </c>
      <c r="C94" s="107">
        <v>0.35</v>
      </c>
    </row>
    <row r="95" spans="2:10">
      <c r="B95" s="106" t="s">
        <v>215</v>
      </c>
      <c r="C95" s="148">
        <v>4000</v>
      </c>
      <c r="D95" s="107" t="s">
        <v>214</v>
      </c>
    </row>
    <row r="96" spans="2:10">
      <c r="B96" s="106" t="s">
        <v>217</v>
      </c>
      <c r="C96" s="146" t="e">
        <f>fbe_inspect_per_km_per_yr*pipeline_length_m/1000</f>
        <v>#NAME?</v>
      </c>
      <c r="D96" s="147" t="e">
        <f>-PV(discount_rate/100,25,fbe_inspect_opex)</f>
        <v>#NAME?</v>
      </c>
    </row>
    <row r="98" spans="2:6">
      <c r="B98" s="106" t="s">
        <v>150</v>
      </c>
      <c r="C98" s="148">
        <v>2000</v>
      </c>
      <c r="D98" s="107" t="s">
        <v>151</v>
      </c>
    </row>
    <row r="99" spans="2:6">
      <c r="B99" s="106" t="s">
        <v>213</v>
      </c>
      <c r="C99" s="148">
        <v>8000</v>
      </c>
      <c r="D99" s="107" t="s">
        <v>214</v>
      </c>
    </row>
    <row r="100" spans="2:6">
      <c r="B100" s="106" t="s">
        <v>216</v>
      </c>
      <c r="C100" s="146" t="e">
        <f>bare_inspect_per_km_per_yr*pipeline_length_m/1000</f>
        <v>#NAME?</v>
      </c>
      <c r="D100" s="147" t="e">
        <f>-PV(discount_rate/100,25,bare_inspect_opex)</f>
        <v>#NAME?</v>
      </c>
    </row>
    <row r="103" spans="2:6">
      <c r="F103" s="50">
        <v>200</v>
      </c>
    </row>
    <row r="104" spans="2:6">
      <c r="B104" s="107" t="s">
        <v>181</v>
      </c>
      <c r="C104" s="107" t="s">
        <v>180</v>
      </c>
      <c r="D104" s="107" t="s">
        <v>175</v>
      </c>
      <c r="E104" s="107" t="s">
        <v>176</v>
      </c>
      <c r="F104" s="3" t="s">
        <v>183</v>
      </c>
    </row>
    <row r="105" spans="2:6">
      <c r="B105" s="107" t="s">
        <v>177</v>
      </c>
      <c r="C105" s="112">
        <v>13478</v>
      </c>
      <c r="D105" s="107">
        <v>2.09</v>
      </c>
      <c r="E105" s="113">
        <f>D105*C105</f>
        <v>28169.019999999997</v>
      </c>
      <c r="F105" s="3">
        <f>E105/F103</f>
        <v>140.84509999999997</v>
      </c>
    </row>
    <row r="106" spans="2:6">
      <c r="B106" s="107" t="s">
        <v>182</v>
      </c>
      <c r="C106" s="112">
        <v>230</v>
      </c>
      <c r="D106" s="107">
        <v>16</v>
      </c>
      <c r="E106" s="113">
        <f>D106*C106</f>
        <v>3680</v>
      </c>
      <c r="F106" s="3">
        <f>E106/F103</f>
        <v>18.399999999999999</v>
      </c>
    </row>
    <row r="107" spans="2:6">
      <c r="B107" s="107" t="s">
        <v>178</v>
      </c>
      <c r="C107" s="107" t="s">
        <v>179</v>
      </c>
      <c r="D107" s="107">
        <v>7.21</v>
      </c>
      <c r="E107" s="113">
        <v>7210</v>
      </c>
      <c r="F107" s="103">
        <f>E107/F103</f>
        <v>36.049999999999997</v>
      </c>
    </row>
    <row r="108" spans="2:6">
      <c r="B108" s="107"/>
      <c r="F108" s="104">
        <f>SUM(F105:F107)</f>
        <v>195.29509999999999</v>
      </c>
    </row>
    <row r="109" spans="2:6">
      <c r="B109" s="107" t="s">
        <v>184</v>
      </c>
      <c r="C109" s="107">
        <v>-1000</v>
      </c>
      <c r="F109" s="3"/>
    </row>
    <row r="110" spans="2:6">
      <c r="B110" s="107" t="s">
        <v>185</v>
      </c>
      <c r="C110" s="113">
        <f>PV((discount_rate/100)/12,120,C109,0,0)</f>
        <v>75671.163369654198</v>
      </c>
      <c r="D110" s="114" t="e">
        <f>C110*Flow_L_s/F103</f>
        <v>#NAME?</v>
      </c>
      <c r="E110" s="113" t="e">
        <f>ROUND(D110/_xlfn.SINGLE(design_flow_rate)/5,1)*5</f>
        <v>#NAME?</v>
      </c>
      <c r="F110" s="3"/>
    </row>
  </sheetData>
  <mergeCells count="6">
    <mergeCell ref="G66:G67"/>
    <mergeCell ref="B1:D1"/>
    <mergeCell ref="AQ19:AR19"/>
    <mergeCell ref="AO21:AO23"/>
    <mergeCell ref="AO25:AO28"/>
    <mergeCell ref="G63:G65"/>
  </mergeCells>
  <conditionalFormatting sqref="H70:I7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80:I86">
    <cfRule type="colorScale" priority="17">
      <colorScale>
        <cfvo type="min"/>
        <cfvo type="max"/>
        <color rgb="FFFCFCFF"/>
        <color rgb="FFF8696B"/>
      </colorScale>
    </cfRule>
  </conditionalFormatting>
  <conditionalFormatting sqref="Q4:Q28">
    <cfRule type="colorScale" priority="4">
      <colorScale>
        <cfvo type="min"/>
        <cfvo type="max"/>
        <color rgb="FFFCFCFF"/>
        <color rgb="FFF8696B"/>
      </colorScale>
    </cfRule>
  </conditionalFormatting>
  <conditionalFormatting sqref="T4:T28">
    <cfRule type="colorScale" priority="6">
      <colorScale>
        <cfvo type="min"/>
        <cfvo type="max"/>
        <color rgb="FFFCFCFF"/>
        <color rgb="FFF8696B"/>
      </colorScale>
    </cfRule>
  </conditionalFormatting>
  <conditionalFormatting sqref="T32:T56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/>
  <ignoredErrors>
    <ignoredError sqref="I4:I27" calculatedColumn="1"/>
  </ignoredErrors>
  <drawing r:id="rId1"/>
  <legacy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13F0-113D-E347-9D20-72E2B93074F7}">
  <dimension ref="B3:H27"/>
  <sheetViews>
    <sheetView topLeftCell="A3" zoomScale="150" zoomScaleNormal="150" workbookViewId="0">
      <selection activeCell="D21" sqref="D21"/>
    </sheetView>
    <sheetView workbookViewId="1"/>
  </sheetViews>
  <sheetFormatPr baseColWidth="10" defaultRowHeight="16"/>
  <cols>
    <col min="1" max="1" width="10.83203125" style="50"/>
    <col min="2" max="2" width="31" style="50" bestFit="1" customWidth="1"/>
    <col min="3" max="4" width="13.5" style="50" customWidth="1"/>
    <col min="5" max="5" width="14.33203125" style="50" customWidth="1"/>
    <col min="6" max="6" width="36.6640625" style="50" bestFit="1" customWidth="1"/>
    <col min="7" max="16384" width="10.83203125" style="50"/>
  </cols>
  <sheetData>
    <row r="3" spans="2:8" ht="53" customHeight="1">
      <c r="B3" s="52" t="s">
        <v>104</v>
      </c>
      <c r="C3" s="52" t="s">
        <v>112</v>
      </c>
      <c r="D3" s="52" t="s">
        <v>102</v>
      </c>
      <c r="E3" s="52"/>
      <c r="F3" s="51" t="s">
        <v>101</v>
      </c>
      <c r="G3" s="51" t="s">
        <v>111</v>
      </c>
    </row>
    <row r="4" spans="2:8" ht="17">
      <c r="B4" s="52" t="s">
        <v>110</v>
      </c>
      <c r="C4" s="56">
        <f t="shared" ref="C4:C9" si="0">G4*0.145038</f>
        <v>1180.1742059999999</v>
      </c>
      <c r="D4" s="52">
        <v>0.47</v>
      </c>
      <c r="E4" s="51"/>
      <c r="F4" s="51">
        <v>1043.5</v>
      </c>
      <c r="G4" s="51">
        <v>8137</v>
      </c>
    </row>
    <row r="5" spans="2:8" ht="17">
      <c r="B5" s="52" t="s">
        <v>109</v>
      </c>
      <c r="C5" s="56">
        <f t="shared" si="0"/>
        <v>1132.3116660000001</v>
      </c>
      <c r="D5" s="52">
        <v>15.9</v>
      </c>
      <c r="E5" s="51"/>
      <c r="F5" s="51">
        <v>1031.4000000000001</v>
      </c>
      <c r="G5" s="51">
        <v>7807</v>
      </c>
    </row>
    <row r="6" spans="2:8" ht="17">
      <c r="B6" s="52" t="s">
        <v>108</v>
      </c>
      <c r="C6" s="56">
        <f t="shared" si="0"/>
        <v>1314.479394</v>
      </c>
      <c r="D6" s="52">
        <v>26</v>
      </c>
      <c r="E6" s="51"/>
      <c r="F6" s="51">
        <v>876.8</v>
      </c>
      <c r="G6" s="51">
        <v>9063</v>
      </c>
    </row>
    <row r="7" spans="2:8" ht="17">
      <c r="B7" s="52" t="s">
        <v>107</v>
      </c>
      <c r="C7" s="56">
        <f t="shared" si="0"/>
        <v>1674.8988240000001</v>
      </c>
      <c r="D7" s="52">
        <v>12.7</v>
      </c>
      <c r="E7" s="51"/>
      <c r="F7" s="51">
        <v>666.5</v>
      </c>
      <c r="G7" s="51">
        <v>11548</v>
      </c>
    </row>
    <row r="8" spans="2:8" ht="17">
      <c r="B8" s="52" t="s">
        <v>106</v>
      </c>
      <c r="C8" s="56">
        <f t="shared" si="0"/>
        <v>1183.800156</v>
      </c>
      <c r="D8" s="52">
        <v>40.799999999999997</v>
      </c>
      <c r="E8" s="51"/>
      <c r="F8" s="51">
        <v>923.7</v>
      </c>
      <c r="G8" s="51">
        <v>8162</v>
      </c>
    </row>
    <row r="9" spans="2:8" ht="17">
      <c r="B9" s="52" t="s">
        <v>105</v>
      </c>
      <c r="C9" s="56">
        <f t="shared" si="0"/>
        <v>1163.4948360000001</v>
      </c>
      <c r="D9" s="52">
        <v>42.1</v>
      </c>
      <c r="E9" s="51"/>
      <c r="F9" s="51">
        <v>933.9</v>
      </c>
      <c r="G9" s="51">
        <v>8022</v>
      </c>
    </row>
    <row r="10" spans="2:8">
      <c r="B10" s="55"/>
      <c r="C10" s="55"/>
      <c r="D10" s="55"/>
    </row>
    <row r="11" spans="2:8" ht="54" customHeight="1">
      <c r="B11" s="52" t="s">
        <v>104</v>
      </c>
      <c r="C11" s="55" t="s">
        <v>103</v>
      </c>
      <c r="D11" s="52" t="s">
        <v>102</v>
      </c>
      <c r="E11" s="52"/>
      <c r="F11" s="51" t="s">
        <v>101</v>
      </c>
      <c r="G11" s="51" t="s">
        <v>100</v>
      </c>
      <c r="H11" s="51" t="s">
        <v>99</v>
      </c>
    </row>
    <row r="12" spans="2:8" ht="17">
      <c r="B12" s="52" t="s">
        <v>98</v>
      </c>
      <c r="C12" s="56">
        <f>H12*0.145038</f>
        <v>1444.8685559999999</v>
      </c>
      <c r="D12" s="52">
        <v>0</v>
      </c>
      <c r="E12" s="51"/>
      <c r="F12" s="51">
        <v>1020.5</v>
      </c>
      <c r="G12" s="51">
        <v>23000</v>
      </c>
      <c r="H12" s="51">
        <v>9962</v>
      </c>
    </row>
    <row r="13" spans="2:8" ht="17">
      <c r="B13" s="52" t="s">
        <v>97</v>
      </c>
      <c r="C13" s="56">
        <f>H13*0.145038</f>
        <v>1307.807646</v>
      </c>
      <c r="D13" s="52">
        <v>0</v>
      </c>
      <c r="E13" s="51"/>
      <c r="F13" s="51">
        <v>1020.5</v>
      </c>
      <c r="G13" s="51">
        <v>9000</v>
      </c>
      <c r="H13" s="51">
        <v>9017</v>
      </c>
    </row>
    <row r="14" spans="2:8" ht="17">
      <c r="B14" s="52" t="s">
        <v>96</v>
      </c>
      <c r="C14" s="56">
        <f>H14*0.145038</f>
        <v>1444.8685559999999</v>
      </c>
      <c r="D14" s="52">
        <v>0.5</v>
      </c>
      <c r="E14" s="51"/>
      <c r="F14" s="51">
        <v>1043.5</v>
      </c>
      <c r="G14" s="51">
        <v>23000</v>
      </c>
      <c r="H14" s="51">
        <v>9962</v>
      </c>
    </row>
    <row r="15" spans="2:8" ht="17">
      <c r="B15" s="52" t="s">
        <v>95</v>
      </c>
      <c r="C15" s="56">
        <f>H15*0.145038</f>
        <v>1384.38771</v>
      </c>
      <c r="D15" s="52">
        <v>15.9</v>
      </c>
      <c r="E15" s="51"/>
      <c r="F15" s="51">
        <v>1031.4000000000001</v>
      </c>
      <c r="G15" s="51">
        <v>23000</v>
      </c>
      <c r="H15" s="51">
        <v>9545</v>
      </c>
    </row>
    <row r="16" spans="2:8" ht="17">
      <c r="B16" s="52" t="s">
        <v>94</v>
      </c>
      <c r="C16" s="56">
        <f>H16*0.145038</f>
        <v>1592.082126</v>
      </c>
      <c r="D16" s="52">
        <v>26</v>
      </c>
      <c r="E16" s="51"/>
      <c r="F16" s="51">
        <v>876.5</v>
      </c>
      <c r="G16" s="51">
        <v>20000</v>
      </c>
      <c r="H16" s="51">
        <v>10977</v>
      </c>
    </row>
    <row r="17" spans="2:5">
      <c r="B17" s="55"/>
      <c r="C17" s="55"/>
      <c r="D17" s="55"/>
    </row>
    <row r="18" spans="2:5" ht="17">
      <c r="B18" s="52" t="s">
        <v>93</v>
      </c>
      <c r="C18" s="52" t="s">
        <v>92</v>
      </c>
      <c r="D18" s="52" t="s">
        <v>91</v>
      </c>
      <c r="E18" s="52"/>
    </row>
    <row r="19" spans="2:5" ht="17">
      <c r="B19" s="52" t="s">
        <v>90</v>
      </c>
      <c r="C19" s="52" t="s">
        <v>89</v>
      </c>
      <c r="D19" s="54">
        <v>45590</v>
      </c>
      <c r="E19" s="53"/>
    </row>
    <row r="20" spans="2:5" ht="17">
      <c r="B20" s="52" t="s">
        <v>88</v>
      </c>
      <c r="C20" s="52" t="s">
        <v>22</v>
      </c>
      <c r="D20" s="52">
        <v>1000</v>
      </c>
      <c r="E20" s="51"/>
    </row>
    <row r="21" spans="2:5" ht="17">
      <c r="B21" s="52" t="s">
        <v>87</v>
      </c>
      <c r="C21" s="52" t="s">
        <v>26</v>
      </c>
      <c r="D21" s="52">
        <v>1.3</v>
      </c>
      <c r="E21" s="51"/>
    </row>
    <row r="22" spans="2:5" ht="17">
      <c r="B22" s="52" t="s">
        <v>86</v>
      </c>
      <c r="C22" s="52" t="s">
        <v>19</v>
      </c>
      <c r="D22" s="52">
        <v>2268</v>
      </c>
      <c r="E22" s="51"/>
    </row>
    <row r="23" spans="2:5" ht="17">
      <c r="B23" s="52" t="s">
        <v>218</v>
      </c>
      <c r="C23" s="52" t="s">
        <v>81</v>
      </c>
      <c r="D23" s="52">
        <v>1.5840000000000001</v>
      </c>
    </row>
    <row r="24" spans="2:5" ht="17">
      <c r="B24" s="52" t="s">
        <v>85</v>
      </c>
      <c r="C24" s="52" t="s">
        <v>19</v>
      </c>
      <c r="D24" s="52">
        <v>720</v>
      </c>
      <c r="E24" s="51"/>
    </row>
    <row r="25" spans="2:5" ht="34">
      <c r="B25" s="52" t="s">
        <v>84</v>
      </c>
      <c r="C25" s="52" t="s">
        <v>27</v>
      </c>
      <c r="D25" s="52">
        <v>2.3E-2</v>
      </c>
      <c r="E25" s="51"/>
    </row>
    <row r="26" spans="2:5" ht="51">
      <c r="B26" s="52" t="s">
        <v>83</v>
      </c>
      <c r="C26" s="52" t="s">
        <v>81</v>
      </c>
      <c r="D26" s="52">
        <v>3</v>
      </c>
      <c r="E26" s="51"/>
    </row>
    <row r="27" spans="2:5" ht="51">
      <c r="B27" s="52" t="s">
        <v>82</v>
      </c>
      <c r="C27" s="52" t="s">
        <v>81</v>
      </c>
      <c r="D27" s="52">
        <v>8</v>
      </c>
      <c r="E27" s="51"/>
    </row>
  </sheetData>
  <pageMargins left="0.7" right="0.7" top="0.75" bottom="0.75" header="0.3" footer="0.3"/>
  <pageSetup orientation="portrait" horizontalDpi="0" verticalDpi="0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AA16E-D0A0-084B-91F5-764C22323FA7}">
  <dimension ref="A1"/>
  <sheetViews>
    <sheetView workbookViewId="0"/>
    <sheetView workbookViewId="1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207</vt:i4>
      </vt:variant>
    </vt:vector>
  </HeadingPairs>
  <TitlesOfParts>
    <vt:vector size="219" baseType="lpstr">
      <vt:lpstr>Parameters</vt:lpstr>
      <vt:lpstr>Steel</vt:lpstr>
      <vt:lpstr>Dosging</vt:lpstr>
      <vt:lpstr>SC</vt:lpstr>
      <vt:lpstr>FJC</vt:lpstr>
      <vt:lpstr>Inhibitors</vt:lpstr>
      <vt:lpstr>Inspections</vt:lpstr>
      <vt:lpstr>Electricity</vt:lpstr>
      <vt:lpstr>Charts</vt:lpstr>
      <vt:lpstr>Data_</vt:lpstr>
      <vt:lpstr>SRAII AMSA</vt:lpstr>
      <vt:lpstr>SAR Codelco</vt:lpstr>
      <vt:lpstr>aguasin_price_200_L_s</vt:lpstr>
      <vt:lpstr>annual_discount_rate</vt:lpstr>
      <vt:lpstr>annual_discount_rate_percent</vt:lpstr>
      <vt:lpstr>annual_hours_operation_h_yr</vt:lpstr>
      <vt:lpstr>annual_operation_h</vt:lpstr>
      <vt:lpstr>bare_cost_electricity_yr_1</vt:lpstr>
      <vt:lpstr>bare_dosing_plant_CAPEX</vt:lpstr>
      <vt:lpstr>bare_electricity_pv</vt:lpstr>
      <vt:lpstr>bare_electricity_yr_1</vt:lpstr>
      <vt:lpstr>bare_elevation_energy_PV</vt:lpstr>
      <vt:lpstr>bare_f_yr_1</vt:lpstr>
      <vt:lpstr>bare_friction_energy_PV</vt:lpstr>
      <vt:lpstr>bare_hf_yr1_m</vt:lpstr>
      <vt:lpstr>bare_id_m_yr_1</vt:lpstr>
      <vt:lpstr>bare_inside_diameter_yr_1</vt:lpstr>
      <vt:lpstr>bare_inspect_opex</vt:lpstr>
      <vt:lpstr>bare_inspect_per_km_per_yr</vt:lpstr>
      <vt:lpstr>bare_inspection_per_km</vt:lpstr>
      <vt:lpstr>bare_inspections_PV</vt:lpstr>
      <vt:lpstr>bare_opex_NPV</vt:lpstr>
      <vt:lpstr>bare_re_yr_1</vt:lpstr>
      <vt:lpstr>bare_roughness_yr_1</vt:lpstr>
      <vt:lpstr>bare_steel_capex</vt:lpstr>
      <vt:lpstr>bare_steel_percentage</vt:lpstr>
      <vt:lpstr>bare_steel_weight_t</vt:lpstr>
      <vt:lpstr>bare_total_usd</vt:lpstr>
      <vt:lpstr>bare_vel_yr_1_m_s</vt:lpstr>
      <vt:lpstr>bare_wall__yr_1_mm</vt:lpstr>
      <vt:lpstr>bare_wall_yr_1_mm</vt:lpstr>
      <vt:lpstr>biocide_cost_yr</vt:lpstr>
      <vt:lpstr>biocide_kg_yr</vt:lpstr>
      <vt:lpstr>biocide_price</vt:lpstr>
      <vt:lpstr>capex_steel_bare</vt:lpstr>
      <vt:lpstr>capex_steel_fbe</vt:lpstr>
      <vt:lpstr>case_selection</vt:lpstr>
      <vt:lpstr>case_selection_2</vt:lpstr>
      <vt:lpstr>chem_inj_1</vt:lpstr>
      <vt:lpstr>chem_inj_2</vt:lpstr>
      <vt:lpstr>chem_inj_3</vt:lpstr>
      <vt:lpstr>chem_inj_4</vt:lpstr>
      <vt:lpstr>chem_inj_5</vt:lpstr>
      <vt:lpstr>chem_inj_6</vt:lpstr>
      <vt:lpstr>chem_inj_total</vt:lpstr>
      <vt:lpstr>chem_opex_pv</vt:lpstr>
      <vt:lpstr>chile_inland</vt:lpstr>
      <vt:lpstr>china_inland</vt:lpstr>
      <vt:lpstr>corrosion_opex_PV</vt:lpstr>
      <vt:lpstr>corrosion_opex_yr</vt:lpstr>
      <vt:lpstr>corrosion_rate</vt:lpstr>
      <vt:lpstr>corrosion_rate_mm_yr</vt:lpstr>
      <vt:lpstr>cost_per_steel_weight</vt:lpstr>
      <vt:lpstr>cost_per_steel_weight_t</vt:lpstr>
      <vt:lpstr>design_flow_rate</vt:lpstr>
      <vt:lpstr>design_flow_rate_l_s</vt:lpstr>
      <vt:lpstr>diameter_mm</vt:lpstr>
      <vt:lpstr>diff_friction_bare</vt:lpstr>
      <vt:lpstr>diff_inhibitors_bare</vt:lpstr>
      <vt:lpstr>diff_JFC</vt:lpstr>
      <vt:lpstr>diff_percent_usd</vt:lpstr>
      <vt:lpstr>diff_shop_coating</vt:lpstr>
      <vt:lpstr>diff_steel_bare</vt:lpstr>
      <vt:lpstr>diff_total_diff</vt:lpstr>
      <vt:lpstr>diff_total_fbe_usd</vt:lpstr>
      <vt:lpstr>diff_total_usd</vt:lpstr>
      <vt:lpstr>discount_rate</vt:lpstr>
      <vt:lpstr>Dosage_plant_investment</vt:lpstr>
      <vt:lpstr>Dosage_plant_upfront_investment_m3_day</vt:lpstr>
      <vt:lpstr>Dosing_investment</vt:lpstr>
      <vt:lpstr>Dosing_plant_capex</vt:lpstr>
      <vt:lpstr>dynamic_viscosity_of_water</vt:lpstr>
      <vt:lpstr>dynamic_viscosity_of_water_cP</vt:lpstr>
      <vt:lpstr>electrical_energy_usd_mwh</vt:lpstr>
      <vt:lpstr>Elevation_change</vt:lpstr>
      <vt:lpstr>Elevation_change_m</vt:lpstr>
      <vt:lpstr>Encalada_cost_FBE_per_m_32_in</vt:lpstr>
      <vt:lpstr>Energy_cost</vt:lpstr>
      <vt:lpstr>Energy_cost_w_h</vt:lpstr>
      <vt:lpstr>Energy_table_text_bare</vt:lpstr>
      <vt:lpstr>Energy_table_text_fbe</vt:lpstr>
      <vt:lpstr>extra_friction_energy</vt:lpstr>
      <vt:lpstr>extra_inspections</vt:lpstr>
      <vt:lpstr>extra_inspections_bare</vt:lpstr>
      <vt:lpstr>extra_steel</vt:lpstr>
      <vt:lpstr>FBE_coating_capex</vt:lpstr>
      <vt:lpstr>FBE_cost_per_m2</vt:lpstr>
      <vt:lpstr>FBE_cost_per_surface</vt:lpstr>
      <vt:lpstr>fbe_elevation_energy_PV</vt:lpstr>
      <vt:lpstr>fbe_friction_energy_PV</vt:lpstr>
      <vt:lpstr>FBE_inner_area_m2</vt:lpstr>
      <vt:lpstr>fbe_inside_diameter_yr_1</vt:lpstr>
      <vt:lpstr>fbe_inside_surface</vt:lpstr>
      <vt:lpstr>fbe_inspect_opex</vt:lpstr>
      <vt:lpstr>fbe_inspect_per_km_per_yr</vt:lpstr>
      <vt:lpstr>fbe_inspection_per_km</vt:lpstr>
      <vt:lpstr>fbe_inspections_PV</vt:lpstr>
      <vt:lpstr>FBE_opex_NPV</vt:lpstr>
      <vt:lpstr>FBE_opex_NPV_1</vt:lpstr>
      <vt:lpstr>FBE_plus_bare</vt:lpstr>
      <vt:lpstr>FBE_steel_capex</vt:lpstr>
      <vt:lpstr>FBE_steel_percentage</vt:lpstr>
      <vt:lpstr>FBE_Steel_Perecentage</vt:lpstr>
      <vt:lpstr>fbe_steel_weight_t</vt:lpstr>
      <vt:lpstr>fbe_total_usd</vt:lpstr>
      <vt:lpstr>fbe_wall__yr_1_mm</vt:lpstr>
      <vt:lpstr>field_coating_total</vt:lpstr>
      <vt:lpstr>field_coating_usd_joint</vt:lpstr>
      <vt:lpstr>field_coating_usd_per_joint</vt:lpstr>
      <vt:lpstr>field_Joint_Coating</vt:lpstr>
      <vt:lpstr>FJc_surface</vt:lpstr>
      <vt:lpstr>FJE_vs_SC_Times_per_surface</vt:lpstr>
      <vt:lpstr>Flow_m3_h</vt:lpstr>
      <vt:lpstr>Flow_rate_m3_s</vt:lpstr>
      <vt:lpstr>fluid_density</vt:lpstr>
      <vt:lpstr>freight_cost</vt:lpstr>
      <vt:lpstr>freight_cost_t</vt:lpstr>
      <vt:lpstr>grav_accel</vt:lpstr>
      <vt:lpstr>gravitational_acceleration</vt:lpstr>
      <vt:lpstr>hrc_price</vt:lpstr>
      <vt:lpstr>hrc_price_usd_t</vt:lpstr>
      <vt:lpstr>id_FBE_yr_25</vt:lpstr>
      <vt:lpstr>inhibitor_cost_yr</vt:lpstr>
      <vt:lpstr>inhibitor_dosage</vt:lpstr>
      <vt:lpstr>inhibitor_kg_yr</vt:lpstr>
      <vt:lpstr>inhibitor_price</vt:lpstr>
      <vt:lpstr>inhibitors_per_L_s</vt:lpstr>
      <vt:lpstr>inspections_bare_PV</vt:lpstr>
      <vt:lpstr>inspections_FBE_PV</vt:lpstr>
      <vt:lpstr>interior_fbe_capex</vt:lpstr>
      <vt:lpstr>interior_fbe_capex_vs_steel_cost</vt:lpstr>
      <vt:lpstr>interior_fbe_thickness_mm</vt:lpstr>
      <vt:lpstr>joint_number</vt:lpstr>
      <vt:lpstr>k_yr_1</vt:lpstr>
      <vt:lpstr>k_yr_1_2</vt:lpstr>
      <vt:lpstr>k_yr_25</vt:lpstr>
      <vt:lpstr>k_yr_25_2</vt:lpstr>
      <vt:lpstr>m3_per_year</vt:lpstr>
      <vt:lpstr>ocean_freight</vt:lpstr>
      <vt:lpstr>opex_chem_yr</vt:lpstr>
      <vt:lpstr>outer_diameter_inch</vt:lpstr>
      <vt:lpstr>outside_diameter</vt:lpstr>
      <vt:lpstr>outside_diameter_inches</vt:lpstr>
      <vt:lpstr>p_fjc_coated</vt:lpstr>
      <vt:lpstr>p_sc_coated</vt:lpstr>
      <vt:lpstr>p_steel_coated</vt:lpstr>
      <vt:lpstr>pipe_id_bare_yr_1</vt:lpstr>
      <vt:lpstr>pipe_id_fbe_yr_1</vt:lpstr>
      <vt:lpstr>pipe_od_in</vt:lpstr>
      <vt:lpstr>pipe_od_m</vt:lpstr>
      <vt:lpstr>pipe_radius_mm</vt:lpstr>
      <vt:lpstr>pipe_segment_length_m</vt:lpstr>
      <vt:lpstr>pipe_total_joints</vt:lpstr>
      <vt:lpstr>pipeline_length</vt:lpstr>
      <vt:lpstr>pipeline_length_km</vt:lpstr>
      <vt:lpstr>project_life</vt:lpstr>
      <vt:lpstr>Projected_kWh</vt:lpstr>
      <vt:lpstr>Projected_MWh</vt:lpstr>
      <vt:lpstr>Projected_Wh</vt:lpstr>
      <vt:lpstr>pump_efficiency</vt:lpstr>
      <vt:lpstr>pump_efficiency_percentage</vt:lpstr>
      <vt:lpstr>pv_inhibitors</vt:lpstr>
      <vt:lpstr>robotic_internal_coating_service</vt:lpstr>
      <vt:lpstr>robotic_internal_coating_service_CAPEX</vt:lpstr>
      <vt:lpstr>roughness_bare_pipe</vt:lpstr>
      <vt:lpstr>roughness_bare_pipe_yr_1</vt:lpstr>
      <vt:lpstr>roughness_bare_pipe_yr_25</vt:lpstr>
      <vt:lpstr>roughness_bare_yr_1_mm</vt:lpstr>
      <vt:lpstr>roughness_bare_yr_25_mm</vt:lpstr>
      <vt:lpstr>roughness_fbe_pipe</vt:lpstr>
      <vt:lpstr>roughness_FBE_yr_1</vt:lpstr>
      <vt:lpstr>roughness_fbe_yr_1_mm</vt:lpstr>
      <vt:lpstr>roughness_FBE_yr_25</vt:lpstr>
      <vt:lpstr>roughness_fbe_yr_25_mm</vt:lpstr>
      <vt:lpstr>roughness_FBE_yr1_m</vt:lpstr>
      <vt:lpstr>Safety_factor</vt:lpstr>
      <vt:lpstr>Sc_surface</vt:lpstr>
      <vt:lpstr>segment_length</vt:lpstr>
      <vt:lpstr>Service_life_yr</vt:lpstr>
      <vt:lpstr>Shop_fbe_coating</vt:lpstr>
      <vt:lpstr>Steel_a1</vt:lpstr>
      <vt:lpstr>Steel_a2</vt:lpstr>
      <vt:lpstr>Steel_b1</vt:lpstr>
      <vt:lpstr>Steel_b2</vt:lpstr>
      <vt:lpstr>Steel_c1</vt:lpstr>
      <vt:lpstr>Steel_c2</vt:lpstr>
      <vt:lpstr>Steel_cost_difference</vt:lpstr>
      <vt:lpstr>Steel_density_kg_m3</vt:lpstr>
      <vt:lpstr>Steel_diff_percentage</vt:lpstr>
      <vt:lpstr>Steel_Perecentage</vt:lpstr>
      <vt:lpstr>Steel_pipe_transportation</vt:lpstr>
      <vt:lpstr>Supply_contingency</vt:lpstr>
      <vt:lpstr>Times_coating_vs_FJC</vt:lpstr>
      <vt:lpstr>Total_Field_Shop_Steel</vt:lpstr>
      <vt:lpstr>Total_Steel_cost</vt:lpstr>
      <vt:lpstr>Total_Steel_Price</vt:lpstr>
      <vt:lpstr>v_kinematic_viscosity</vt:lpstr>
      <vt:lpstr>viscosity_Pa_s</vt:lpstr>
      <vt:lpstr>volume_1_m_bare</vt:lpstr>
      <vt:lpstr>volume_1_m_fbe</vt:lpstr>
      <vt:lpstr>volume_yr</vt:lpstr>
      <vt:lpstr>wall_corrosion_rate_mm_yr</vt:lpstr>
      <vt:lpstr>wall_thickness_mm</vt:lpstr>
      <vt:lpstr>wall_yr_1</vt:lpstr>
      <vt:lpstr>wall_yr_1_1</vt:lpstr>
      <vt:lpstr>wall_yr_25</vt:lpstr>
      <vt:lpstr>wall_yr_25_2</vt:lpstr>
      <vt:lpstr>water_density</vt:lpstr>
      <vt:lpstr>x70_steel_density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Mella</dc:creator>
  <cp:lastModifiedBy>JIM Mella</cp:lastModifiedBy>
  <dcterms:created xsi:type="dcterms:W3CDTF">2025-01-20T14:06:25Z</dcterms:created>
  <dcterms:modified xsi:type="dcterms:W3CDTF">2025-02-24T18:56:07Z</dcterms:modified>
</cp:coreProperties>
</file>