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gna/Dropbox/Victaulic/FBE_vs_Bare/GitHub/"/>
    </mc:Choice>
  </mc:AlternateContent>
  <xr:revisionPtr revIDLastSave="0" documentId="13_ncr:1_{53310A4E-257B-2A41-9D1F-F1F60772AF1E}" xr6:coauthVersionLast="47" xr6:coauthVersionMax="47" xr10:uidLastSave="{00000000-0000-0000-0000-000000000000}"/>
  <bookViews>
    <workbookView xWindow="0" yWindow="760" windowWidth="34560" windowHeight="19880" activeTab="8" xr2:uid="{4A80D9CF-9772-3D47-BAD7-B0FB3ABE71DF}"/>
    <workbookView visibility="hidden" xWindow="0" yWindow="760" windowWidth="34560" windowHeight="19880" activeTab="7" xr2:uid="{53D05BF2-39A4-304E-91BF-F60392E00A11}"/>
  </bookViews>
  <sheets>
    <sheet name="Parameters" sheetId="9" r:id="rId1"/>
    <sheet name="Steel" sheetId="10" r:id="rId2"/>
    <sheet name="Dosging" sheetId="11" r:id="rId3"/>
    <sheet name="SC" sheetId="12" r:id="rId4"/>
    <sheet name="FJC" sheetId="14" r:id="rId5"/>
    <sheet name="Inhibitors" sheetId="15" r:id="rId6"/>
    <sheet name="Inspections" sheetId="17" r:id="rId7"/>
    <sheet name="Electricity" sheetId="8" r:id="rId8"/>
    <sheet name="Charts" sheetId="3" r:id="rId9"/>
    <sheet name="SRAII AMSA" sheetId="2" r:id="rId10"/>
  </sheets>
  <externalReferences>
    <externalReference r:id="rId11"/>
  </externalReferences>
  <definedNames>
    <definedName name="_bare_CAPEX">Charts!$C$9</definedName>
    <definedName name="_bare_corrosion_steel">Charts!$C$6</definedName>
    <definedName name="_bare_friction">Charts!$C$12</definedName>
    <definedName name="_bare_inhibitores">Charts!$C$11</definedName>
    <definedName name="_bare_inspections">Charts!$C$13</definedName>
    <definedName name="_bare_OPEX">Charts!$C$14</definedName>
    <definedName name="_coated_CAPEX">Charts!$D$9</definedName>
    <definedName name="_coated_FJC">Charts!$D$7</definedName>
    <definedName name="_coated_Friction">Charts!$D$12</definedName>
    <definedName name="_coated_inspections">Charts!$D$13</definedName>
    <definedName name="_coated_OPEX">Charts!$D$14</definedName>
    <definedName name="_coated_SC">Charts!$D$8</definedName>
    <definedName name="_diff_inhibitors">Charts!$E$11</definedName>
    <definedName name="_xlnm._FilterDatabase" localSheetId="8" hidden="1">Charts!$B$5:$E$13</definedName>
    <definedName name="_xlnm._FilterDatabase" localSheetId="0" hidden="1">Parameters!$A$2:$F$25</definedName>
    <definedName name="aguasin_price_200_L_s">#REF!</definedName>
    <definedName name="annual_discount_rate">Parameters!$C$29</definedName>
    <definedName name="annual_discount_rate_percent">Parameters!$C$28</definedName>
    <definedName name="annual_hours_operation_h_yr">Parameters!$C$25</definedName>
    <definedName name="annual_operation_h">#REF!</definedName>
    <definedName name="Bare_annual_Inspection">Inspections!$B$5</definedName>
    <definedName name="Bare_annual_Inspection_usd">Inspections!$C$5</definedName>
    <definedName name="bare_capex">Charts!$C$18</definedName>
    <definedName name="bare_cost_electricity_yr_1">Electricity!$E$12</definedName>
    <definedName name="bare_dosing_plant_CAPEX">#REF!</definedName>
    <definedName name="bare_electricity_pv">Charts!#REF!</definedName>
    <definedName name="bare_electricity_yr_1">Electricity!$J$20</definedName>
    <definedName name="bare_elevation_energy_PV">Electricity!$K$45</definedName>
    <definedName name="bare_f_yr_1">Electricity!$F$20</definedName>
    <definedName name="bare_friction_energy_PV">Electricity!$J$45</definedName>
    <definedName name="bare_hf_yr1_m">Electricity!$G$20</definedName>
    <definedName name="bare_id_m_yr_1">#REF!</definedName>
    <definedName name="bare_inside_diameter_yr_1">Parameters!$C$12</definedName>
    <definedName name="bare_inspect_opex">#REF!</definedName>
    <definedName name="bare_inspect_per_km_per_yr">#REF!</definedName>
    <definedName name="bare_inspection_per_km">Inspections!$C$3</definedName>
    <definedName name="bare_inspections_PV">Inspections!$C$7</definedName>
    <definedName name="bare_opex">Charts!$C$19</definedName>
    <definedName name="bare_opex_NPV">#REF!</definedName>
    <definedName name="bare_re_yr_1">Electricity!$Q$20</definedName>
    <definedName name="bare_roughness_yr_1">Electricity!$P$20</definedName>
    <definedName name="bare_steel_capex">#REF!</definedName>
    <definedName name="bare_steel_percentage">Steel!$D$38</definedName>
    <definedName name="bare_steel_weight_t">Steel!$C$17</definedName>
    <definedName name="bare_total_usd">Charts!$C$16</definedName>
    <definedName name="bare_vel_yr_1_m_s">Electricity!$E$20</definedName>
    <definedName name="bare_wall__yr_1_mm">Parameters!$C$11</definedName>
    <definedName name="bare_wall_yr_1_mm">#REF!</definedName>
    <definedName name="biocide_cost_yr">Inhibitors!$F$12</definedName>
    <definedName name="biocide_dosage">Inhibitors!$C$12</definedName>
    <definedName name="biocide_kg_yr">Inhibitors!$D$12</definedName>
    <definedName name="biocide_price">Inhibitors!$E$12</definedName>
    <definedName name="capex_steel_bare">Steel!$C$19</definedName>
    <definedName name="capex_steel_fbe">Steel!$C$29</definedName>
    <definedName name="case_selection">Electricity!#REF!</definedName>
    <definedName name="case_selection_2">Electricity!#REF!</definedName>
    <definedName name="chem_inj_1">#REF!</definedName>
    <definedName name="chem_inj_2">#REF!</definedName>
    <definedName name="chem_inj_3">#REF!</definedName>
    <definedName name="chem_inj_4">#REF!</definedName>
    <definedName name="chem_inj_5">#REF!</definedName>
    <definedName name="chem_inj_6">#REF!</definedName>
    <definedName name="chem_inj_total">#REF!</definedName>
    <definedName name="chem_opex_pv">#REF!</definedName>
    <definedName name="chile_inland">Steel!$C$10</definedName>
    <definedName name="china_inland">Steel!$C$8</definedName>
    <definedName name="coated_capex">Charts!$D$18</definedName>
    <definedName name="coated_opex">Charts!$D$19</definedName>
    <definedName name="corrosion_opex_PV">#REF!</definedName>
    <definedName name="corrosion_opex_yr">#REF!</definedName>
    <definedName name="corrosion_rate">#REF!</definedName>
    <definedName name="corrosion_rate_mm_yr">#REF!</definedName>
    <definedName name="cost_of_steel_MT">#REF!</definedName>
    <definedName name="cost_per_steel_weight">Steel!$C$13</definedName>
    <definedName name="cost_per_steel_weight_t">Steel!$C$14</definedName>
    <definedName name="design_flow_rate">Parameters!$C$15</definedName>
    <definedName name="design_flow_rate_l_s">Parameters!$C$14</definedName>
    <definedName name="diameter_mm">#REF!</definedName>
    <definedName name="diff_friction_bare">Charts!$X$4</definedName>
    <definedName name="diff_inhibitors_bare">Charts!$X$3</definedName>
    <definedName name="diff_JFC">Charts!$Y$6</definedName>
    <definedName name="diff_percent_usd">Charts!$E$16</definedName>
    <definedName name="diff_shop_coating">Charts!$Y$8</definedName>
    <definedName name="diff_steel_bare">Charts!$X$5</definedName>
    <definedName name="diff_total_diff">Charts!$Z$10</definedName>
    <definedName name="diff_total_fbe_usd">Charts!$Y$10</definedName>
    <definedName name="diff_total_usd">Charts!$E$17</definedName>
    <definedName name="discount_rate">#REF!</definedName>
    <definedName name="Dosage_plant_investment">Dosging!$B$5</definedName>
    <definedName name="Dosage_plant_upfront_investment_m3_day">#REF!</definedName>
    <definedName name="Dosing_investment">Dosging!$B$2</definedName>
    <definedName name="Dosing_plant_capex">#REF!</definedName>
    <definedName name="Dosing_plant_service_yr">Inhibitors!$F$13</definedName>
    <definedName name="dynamic_viscosity_of_water">Parameters!$C$18</definedName>
    <definedName name="dynamic_viscosity_of_water_cP">#REF!</definedName>
    <definedName name="electrical_energy_usd_mwh">Parameters!$C$32</definedName>
    <definedName name="Electricity_diff_MM">Charts!#REF!</definedName>
    <definedName name="Elevation_change">Parameters!$C$5</definedName>
    <definedName name="Elevation_change_m">#REF!</definedName>
    <definedName name="Encalada_cost_FBE_per_m_32_in">#REF!</definedName>
    <definedName name="Energy_cost">#REF!</definedName>
    <definedName name="Energy_cost_w_h">#REF!</definedName>
    <definedName name="Energy_table_text_bare">Electricity!$A$15</definedName>
    <definedName name="Energy_table_text_fbe">Electricity!$A$16</definedName>
    <definedName name="extra_friction_energy">Charts!$E$12</definedName>
    <definedName name="extra_inspections">Charts!$E$13</definedName>
    <definedName name="extra_inspections_bare">Charts!$X$7</definedName>
    <definedName name="extra_steel">Charts!$E$29</definedName>
    <definedName name="F_Design_Factor">[1]MAOP!$C$4</definedName>
    <definedName name="FBE_annual_Inspection">Inspections!$C$6</definedName>
    <definedName name="FBE_coating_capex">#REF!</definedName>
    <definedName name="FBE_cost_per_m2">#REF!</definedName>
    <definedName name="FBE_cost_per_surface">SC!$B$2</definedName>
    <definedName name="FBE_electricity_opex_npv">#REF!</definedName>
    <definedName name="fbe_electricity_pv">Charts!#REF!</definedName>
    <definedName name="fbe_elevation_energy_PV">Electricity!$K$73</definedName>
    <definedName name="fbe_friction_energy_PV">Electricity!$J$73</definedName>
    <definedName name="FBE_id_yr1_m">#REF!</definedName>
    <definedName name="FBE_inner_area_m2">#REF!</definedName>
    <definedName name="fbe_inside_diameter_yr_1">Parameters!$C$13</definedName>
    <definedName name="fbe_inside_surface">SC!$B$5</definedName>
    <definedName name="fbe_inspect_opex">#REF!</definedName>
    <definedName name="fbe_inspect_per_km_per_yr">#REF!</definedName>
    <definedName name="fbe_inspection_per_km">Inspections!$C$4</definedName>
    <definedName name="fbe_inspections_PV">Inspections!$C$8</definedName>
    <definedName name="FBE_opex_NPV">#REF!</definedName>
    <definedName name="FBE_opex_NPV_1">#REF!</definedName>
    <definedName name="FBE_plus_bare">SC!$B$8</definedName>
    <definedName name="FBE_re_yr_1">#REF!</definedName>
    <definedName name="FBE_steel_capex">#REF!</definedName>
    <definedName name="FBE_steel_percentage">Steel!$D$39</definedName>
    <definedName name="FBE_Steel_Perecentage">SC!$B$9</definedName>
    <definedName name="fbe_steel_weight_t">Steel!$C$27</definedName>
    <definedName name="fbe_total_usd">Charts!$D$16</definedName>
    <definedName name="fbe_wall__yr_1_mm">Parameters!$C$10</definedName>
    <definedName name="FBE_wall_yr_1">#REF!</definedName>
    <definedName name="field_coating_total">FJC!$C$14</definedName>
    <definedName name="field_coating_usd_joint">Parameters!$C$31</definedName>
    <definedName name="field_coating_usd_per_joint">FJC!$C$9</definedName>
    <definedName name="field_Joint_Coating">FJC!$C$22</definedName>
    <definedName name="FJc_surface">FJC!$C$16</definedName>
    <definedName name="FJE_vs_SC_Times_per_surface">FJC!$C$19</definedName>
    <definedName name="Flow_m3_h">#REF!</definedName>
    <definedName name="Flow_rate_m3_s">#REF!</definedName>
    <definedName name="fluid_density">Parameters!$C$17</definedName>
    <definedName name="freight_cost">Steel!$C$12</definedName>
    <definedName name="freight_cost_t">Steel!$C$11</definedName>
    <definedName name="grav_accel">#REF!</definedName>
    <definedName name="gravitational_acceleration">Parameters!$C$33</definedName>
    <definedName name="hrc_price">#REF!</definedName>
    <definedName name="hrc_price_usd_t">Parameters!$C$30</definedName>
    <definedName name="id_FBE_yr_25">#REF!</definedName>
    <definedName name="inhibitor_cost_yr">Inhibitors!$F$11</definedName>
    <definedName name="inhibitor_dosage">Inhibitors!$C$11</definedName>
    <definedName name="inhibitor_kg_yr">Inhibitors!$D$11</definedName>
    <definedName name="inhibitor_price">Inhibitors!$E$11</definedName>
    <definedName name="inhibitors_injection">Inhibitors!$F$14</definedName>
    <definedName name="inhibitors_per_L_s">#REF!</definedName>
    <definedName name="inspections_bare_PV">#REF!</definedName>
    <definedName name="inspections_FBE_PV">#REF!</definedName>
    <definedName name="interior_fbe_capex">SC!$B$6</definedName>
    <definedName name="interior_fbe_capex_vs_steel_cost">SC!$C$6</definedName>
    <definedName name="interior_fbe_thickness_mm">Parameters!$C$23</definedName>
    <definedName name="joint_number">FJC!$C$13</definedName>
    <definedName name="k_yr_1">Electricity!#REF!</definedName>
    <definedName name="k_yr_1_2">Electricity!#REF!</definedName>
    <definedName name="k_yr_25">Electricity!#REF!</definedName>
    <definedName name="k_yr_25_2">Electricity!#REF!</definedName>
    <definedName name="m3_per_year">#REF!</definedName>
    <definedName name="ocean_freight">Steel!$C$9</definedName>
    <definedName name="opex_chem_yr">#REF!</definedName>
    <definedName name="outer_diameter_inch">#REF!</definedName>
    <definedName name="outside_diameter">Parameters!$C$8</definedName>
    <definedName name="outside_diameter_inches">Parameters!$C$7</definedName>
    <definedName name="p_fjc_coated">FJC!$D$22</definedName>
    <definedName name="p_sc_coated">FJC!$D$23</definedName>
    <definedName name="p_steel_coated">FJC!$D$21</definedName>
    <definedName name="pipe_id_bare_yr_1">#REF!</definedName>
    <definedName name="pipe_id_fbe_yr_1">#REF!</definedName>
    <definedName name="pipe_od_in">#REF!</definedName>
    <definedName name="pipe_od_m">#REF!</definedName>
    <definedName name="pipe_radius_mm">#REF!</definedName>
    <definedName name="pipe_segment_length_m">#REF!</definedName>
    <definedName name="pipe_total_joints">#REF!</definedName>
    <definedName name="pipeline_length">Parameters!$C$3</definedName>
    <definedName name="pipeline_length_km">Parameters!$C$4</definedName>
    <definedName name="project_life">Parameters!$C$24</definedName>
    <definedName name="Projected_kWh">Electricity!$E$10</definedName>
    <definedName name="Projected_MWh">Electricity!$E$9</definedName>
    <definedName name="Projected_Wh">Electricity!$E$11</definedName>
    <definedName name="pump_efficiency">Parameters!$C$27</definedName>
    <definedName name="pump_efficiency_percentage">Parameters!$C$26</definedName>
    <definedName name="pv_inhibitors">Inhibitors!$F$15</definedName>
    <definedName name="robotic_internal_coating_service">#REF!</definedName>
    <definedName name="robotic_internal_coating_service_CAPEX">#REF!</definedName>
    <definedName name="roughness_bare_pipe">#REF!</definedName>
    <definedName name="roughness_bare_pipe_yr_1">#REF!</definedName>
    <definedName name="roughness_bare_pipe_yr_25">#REF!</definedName>
    <definedName name="roughness_bare_yr_1_mm">Parameters!$C$19</definedName>
    <definedName name="roughness_bare_yr_25_mm">Parameters!$C$20</definedName>
    <definedName name="roughness_fbe_pipe">#REF!</definedName>
    <definedName name="roughness_FBE_yr_1">#REF!</definedName>
    <definedName name="roughness_fbe_yr_1_mm">Parameters!$C$21</definedName>
    <definedName name="roughness_FBE_yr_25">#REF!</definedName>
    <definedName name="roughness_fbe_yr_25_mm">Parameters!$C$22</definedName>
    <definedName name="roughness_FBE_yr1_m">#REF!</definedName>
    <definedName name="Safety_factor">#REF!</definedName>
    <definedName name="Sc_surface">FJC!$C$17</definedName>
    <definedName name="segment_length">Parameters!$C$6</definedName>
    <definedName name="Service_life_yr">#REF!</definedName>
    <definedName name="Shop_fbe_coating">FJC!$C$23</definedName>
    <definedName name="SMYS">[1]MAOP!$C$5</definedName>
    <definedName name="Steel_a1">Steel!$C$33</definedName>
    <definedName name="Steel_a2">Steel!$C$34</definedName>
    <definedName name="Steel_b1">Steel!$D$33</definedName>
    <definedName name="Steel_b2">Steel!$D$34</definedName>
    <definedName name="Steel_c1">Steel!$C$35</definedName>
    <definedName name="Steel_c2">Steel!$D$35</definedName>
    <definedName name="Steel_cost_difference">Steel!$E$35</definedName>
    <definedName name="Steel_density_kg_m3">#REF!</definedName>
    <definedName name="Steel_diff_percentage">Steel!$E$34</definedName>
    <definedName name="Steel_Perecentage">SC!$B$10</definedName>
    <definedName name="Steel_pipe_transportation">#REF!</definedName>
    <definedName name="Steel_price_USD_MT">#REF!</definedName>
    <definedName name="Supply_contingency">#REF!</definedName>
    <definedName name="Times_coating_vs_FJC">FJC!$C$18</definedName>
    <definedName name="Total_Field_Shop_Steel">FJC!$C$24</definedName>
    <definedName name="Total_Steel_cost">FJC!$C$21</definedName>
    <definedName name="Total_Steel_Price">#REF!</definedName>
    <definedName name="Utilization_factor">#REF!</definedName>
    <definedName name="v_kinematic_viscosity">#REF!</definedName>
    <definedName name="viscosity_Pa_s">#REF!</definedName>
    <definedName name="volume_1_m_bare">Steel!$C$16</definedName>
    <definedName name="volume_1_m_fbe">Steel!$C$26</definedName>
    <definedName name="volume_yr">Inhibitors!$C$6</definedName>
    <definedName name="wall_corrosion_rate_mm_yr">Parameters!$C$9</definedName>
    <definedName name="wall_thickness_corrosion_mm">#REF!</definedName>
    <definedName name="wall_thickness_mm">#REF!</definedName>
    <definedName name="wall_tol">[1]MAOP!$C$3</definedName>
    <definedName name="wall_yr_1">Electricity!#REF!</definedName>
    <definedName name="wall_yr_1_1">Electricity!#REF!</definedName>
    <definedName name="wall_yr_25">Electricity!#REF!</definedName>
    <definedName name="wall_yr_25_2">Electricity!#REF!</definedName>
    <definedName name="water_density">#REF!</definedName>
    <definedName name="x70_steel_density">Parameters!$C$16</definedName>
  </definedNames>
  <calcPr calcId="191029" iterate="1" iterateCount="600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3" l="1"/>
  <c r="G27" i="3" l="1"/>
  <c r="G28" i="3"/>
  <c r="G29" i="3"/>
  <c r="G30" i="3"/>
  <c r="G31" i="3"/>
  <c r="G32" i="3"/>
  <c r="G33" i="3"/>
  <c r="C29" i="3"/>
  <c r="C6" i="3"/>
  <c r="G21" i="3" s="1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A36" i="8"/>
  <c r="A16" i="8"/>
  <c r="E9" i="8"/>
  <c r="A15" i="8"/>
  <c r="AA43" i="8"/>
  <c r="P72" i="8"/>
  <c r="P48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N72" i="8"/>
  <c r="N71" i="8"/>
  <c r="N70" i="8"/>
  <c r="N69" i="8"/>
  <c r="N68" i="8"/>
  <c r="N67" i="8"/>
  <c r="N66" i="8"/>
  <c r="N65" i="8"/>
  <c r="N64" i="8"/>
  <c r="N63" i="8"/>
  <c r="N62" i="8"/>
  <c r="N61" i="8"/>
  <c r="N60" i="8"/>
  <c r="N59" i="8"/>
  <c r="N58" i="8"/>
  <c r="N57" i="8"/>
  <c r="N56" i="8"/>
  <c r="N55" i="8"/>
  <c r="N54" i="8"/>
  <c r="N53" i="8"/>
  <c r="N52" i="8"/>
  <c r="N51" i="8"/>
  <c r="N50" i="8"/>
  <c r="N49" i="8"/>
  <c r="N48" i="8"/>
  <c r="C29" i="9"/>
  <c r="C8" i="15"/>
  <c r="C8" i="17"/>
  <c r="C7" i="17"/>
  <c r="AA33" i="8"/>
  <c r="AA32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N44" i="8"/>
  <c r="N20" i="8"/>
  <c r="Q15" i="3"/>
  <c r="Q14" i="3"/>
  <c r="Q13" i="3"/>
  <c r="Q12" i="3"/>
  <c r="P18" i="3"/>
  <c r="P17" i="3"/>
  <c r="P16" i="3"/>
  <c r="P15" i="3"/>
  <c r="P14" i="3"/>
  <c r="Y17" i="3"/>
  <c r="Y19" i="3"/>
  <c r="X20" i="3"/>
  <c r="D22" i="14"/>
  <c r="C17" i="14"/>
  <c r="I30" i="9"/>
  <c r="P44" i="8"/>
  <c r="P20" i="8"/>
  <c r="C9" i="3" l="1"/>
  <c r="G15" i="3"/>
  <c r="C4" i="9"/>
  <c r="C11" i="10"/>
  <c r="E12" i="15"/>
  <c r="C11" i="9"/>
  <c r="C33" i="10" l="1"/>
  <c r="C4" i="10"/>
  <c r="E3" i="8"/>
  <c r="C15" i="9"/>
  <c r="T58" i="8" s="1"/>
  <c r="I58" i="8" s="1"/>
  <c r="E5" i="8"/>
  <c r="E6" i="8"/>
  <c r="E8" i="8"/>
  <c r="E10" i="8"/>
  <c r="E11" i="8" s="1"/>
  <c r="C6" i="17"/>
  <c r="C5" i="17"/>
  <c r="K58" i="8" l="1"/>
  <c r="C9" i="14"/>
  <c r="T40" i="8"/>
  <c r="I40" i="8" s="1"/>
  <c r="K40" i="8" s="1"/>
  <c r="T41" i="8"/>
  <c r="I41" i="8" s="1"/>
  <c r="K41" i="8" s="1"/>
  <c r="T42" i="8"/>
  <c r="I42" i="8" s="1"/>
  <c r="K42" i="8" s="1"/>
  <c r="T43" i="8"/>
  <c r="I43" i="8" s="1"/>
  <c r="K43" i="8" s="1"/>
  <c r="T44" i="8"/>
  <c r="I44" i="8" s="1"/>
  <c r="K44" i="8" s="1"/>
  <c r="T48" i="8"/>
  <c r="I48" i="8" s="1"/>
  <c r="K48" i="8" s="1"/>
  <c r="K73" i="8" s="1"/>
  <c r="T63" i="8"/>
  <c r="I63" i="8" s="1"/>
  <c r="K63" i="8" s="1"/>
  <c r="T49" i="8"/>
  <c r="I49" i="8" s="1"/>
  <c r="K49" i="8" s="1"/>
  <c r="T50" i="8"/>
  <c r="I50" i="8" s="1"/>
  <c r="K50" i="8" s="1"/>
  <c r="T59" i="8"/>
  <c r="I59" i="8" s="1"/>
  <c r="K59" i="8" s="1"/>
  <c r="T60" i="8"/>
  <c r="I60" i="8" s="1"/>
  <c r="K60" i="8" s="1"/>
  <c r="T62" i="8"/>
  <c r="I62" i="8" s="1"/>
  <c r="K62" i="8" s="1"/>
  <c r="T28" i="8"/>
  <c r="I28" i="8" s="1"/>
  <c r="K28" i="8" s="1"/>
  <c r="T29" i="8"/>
  <c r="I29" i="8" s="1"/>
  <c r="K29" i="8" s="1"/>
  <c r="T64" i="8"/>
  <c r="I64" i="8" s="1"/>
  <c r="K64" i="8" s="1"/>
  <c r="T30" i="8"/>
  <c r="I30" i="8" s="1"/>
  <c r="K30" i="8" s="1"/>
  <c r="T65" i="8"/>
  <c r="I65" i="8" s="1"/>
  <c r="K65" i="8" s="1"/>
  <c r="T24" i="8"/>
  <c r="I24" i="8" s="1"/>
  <c r="K24" i="8" s="1"/>
  <c r="T25" i="8"/>
  <c r="I25" i="8" s="1"/>
  <c r="K25" i="8" s="1"/>
  <c r="T26" i="8"/>
  <c r="I26" i="8" s="1"/>
  <c r="K26" i="8" s="1"/>
  <c r="T61" i="8"/>
  <c r="I61" i="8" s="1"/>
  <c r="K61" i="8" s="1"/>
  <c r="T27" i="8"/>
  <c r="I27" i="8" s="1"/>
  <c r="K27" i="8" s="1"/>
  <c r="T31" i="8"/>
  <c r="I31" i="8" s="1"/>
  <c r="K31" i="8" s="1"/>
  <c r="T66" i="8"/>
  <c r="I66" i="8" s="1"/>
  <c r="K66" i="8" s="1"/>
  <c r="T71" i="8"/>
  <c r="I71" i="8" s="1"/>
  <c r="K71" i="8" s="1"/>
  <c r="T32" i="8"/>
  <c r="I32" i="8" s="1"/>
  <c r="K32" i="8" s="1"/>
  <c r="T51" i="8"/>
  <c r="I51" i="8" s="1"/>
  <c r="K51" i="8" s="1"/>
  <c r="T67" i="8"/>
  <c r="I67" i="8" s="1"/>
  <c r="K67" i="8" s="1"/>
  <c r="T34" i="8"/>
  <c r="I34" i="8" s="1"/>
  <c r="K34" i="8" s="1"/>
  <c r="T35" i="8"/>
  <c r="I35" i="8" s="1"/>
  <c r="K35" i="8" s="1"/>
  <c r="T72" i="8"/>
  <c r="I72" i="8" s="1"/>
  <c r="K72" i="8" s="1"/>
  <c r="T33" i="8"/>
  <c r="I33" i="8" s="1"/>
  <c r="K33" i="8" s="1"/>
  <c r="T52" i="8"/>
  <c r="I52" i="8" s="1"/>
  <c r="K52" i="8" s="1"/>
  <c r="T68" i="8"/>
  <c r="I68" i="8" s="1"/>
  <c r="K68" i="8" s="1"/>
  <c r="T53" i="8"/>
  <c r="I53" i="8" s="1"/>
  <c r="K53" i="8" s="1"/>
  <c r="T20" i="8"/>
  <c r="I20" i="8" s="1"/>
  <c r="K20" i="8" s="1"/>
  <c r="T57" i="8"/>
  <c r="I57" i="8" s="1"/>
  <c r="K57" i="8" s="1"/>
  <c r="E4" i="8"/>
  <c r="T69" i="8"/>
  <c r="I69" i="8" s="1"/>
  <c r="K69" i="8" s="1"/>
  <c r="T54" i="8"/>
  <c r="I54" i="8" s="1"/>
  <c r="K54" i="8" s="1"/>
  <c r="T70" i="8"/>
  <c r="I70" i="8" s="1"/>
  <c r="K70" i="8" s="1"/>
  <c r="T21" i="8"/>
  <c r="I21" i="8" s="1"/>
  <c r="K21" i="8" s="1"/>
  <c r="T36" i="8"/>
  <c r="I36" i="8" s="1"/>
  <c r="K36" i="8" s="1"/>
  <c r="T55" i="8"/>
  <c r="I55" i="8" s="1"/>
  <c r="K55" i="8" s="1"/>
  <c r="T22" i="8"/>
  <c r="I22" i="8" s="1"/>
  <c r="K22" i="8" s="1"/>
  <c r="T37" i="8"/>
  <c r="I37" i="8" s="1"/>
  <c r="K37" i="8" s="1"/>
  <c r="T56" i="8"/>
  <c r="I56" i="8" s="1"/>
  <c r="K56" i="8" s="1"/>
  <c r="Y22" i="8"/>
  <c r="T38" i="8"/>
  <c r="I38" i="8" s="1"/>
  <c r="K38" i="8" s="1"/>
  <c r="T23" i="8"/>
  <c r="I23" i="8" s="1"/>
  <c r="K23" i="8" s="1"/>
  <c r="T39" i="8"/>
  <c r="I39" i="8" s="1"/>
  <c r="K39" i="8" s="1"/>
  <c r="B4" i="12"/>
  <c r="C5" i="15"/>
  <c r="C7" i="15"/>
  <c r="C3" i="15"/>
  <c r="C4" i="15" s="1"/>
  <c r="G4" i="14"/>
  <c r="C3" i="14"/>
  <c r="C12" i="14"/>
  <c r="C11" i="14"/>
  <c r="C13" i="14"/>
  <c r="D9" i="14"/>
  <c r="B3" i="11"/>
  <c r="B5" i="11" s="1"/>
  <c r="B4" i="11"/>
  <c r="C24" i="10"/>
  <c r="D33" i="10" s="1"/>
  <c r="C23" i="10"/>
  <c r="C12" i="10"/>
  <c r="C6" i="10"/>
  <c r="C3" i="10"/>
  <c r="C8" i="9"/>
  <c r="AA34" i="8" s="1"/>
  <c r="A19" i="9"/>
  <c r="B44" i="8"/>
  <c r="AA19" i="8"/>
  <c r="AA24" i="8"/>
  <c r="K45" i="8" l="1"/>
  <c r="E7" i="8"/>
  <c r="C7" i="14"/>
  <c r="C27" i="3"/>
  <c r="X9" i="3"/>
  <c r="C13" i="9"/>
  <c r="B5" i="12" s="1"/>
  <c r="C13" i="3"/>
  <c r="G18" i="3" s="1"/>
  <c r="D13" i="3"/>
  <c r="G4" i="3" s="1"/>
  <c r="C4" i="14"/>
  <c r="C5" i="14"/>
  <c r="C6" i="14"/>
  <c r="C5" i="10"/>
  <c r="C8" i="14"/>
  <c r="C14" i="14"/>
  <c r="C6" i="15"/>
  <c r="D12" i="15" s="1"/>
  <c r="C12" i="9"/>
  <c r="C15" i="10" s="1"/>
  <c r="P49" i="8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O72" i="8"/>
  <c r="C72" i="8" s="1"/>
  <c r="O48" i="8"/>
  <c r="C48" i="8" s="1"/>
  <c r="B72" i="8"/>
  <c r="D72" i="8"/>
  <c r="D48" i="8"/>
  <c r="AA23" i="8"/>
  <c r="P21" i="8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B43" i="8" s="1"/>
  <c r="N21" i="8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O20" i="8"/>
  <c r="B20" i="8"/>
  <c r="AA21" i="8"/>
  <c r="AA27" i="8"/>
  <c r="L8" i="3" l="1"/>
  <c r="G24" i="3"/>
  <c r="G9" i="3"/>
  <c r="L5" i="3"/>
  <c r="P3" i="3" s="1"/>
  <c r="L14" i="3"/>
  <c r="Q5" i="3" s="1"/>
  <c r="L22" i="3"/>
  <c r="M14" i="3"/>
  <c r="Q10" i="3" s="1"/>
  <c r="P6" i="3"/>
  <c r="M8" i="3"/>
  <c r="P12" i="3" s="1"/>
  <c r="M5" i="3"/>
  <c r="P9" i="3" s="1"/>
  <c r="C26" i="10"/>
  <c r="C28" i="10" s="1"/>
  <c r="C27" i="10" s="1"/>
  <c r="D34" i="10" s="1"/>
  <c r="C7" i="10"/>
  <c r="C13" i="10" s="1"/>
  <c r="C14" i="10" s="1"/>
  <c r="E13" i="3"/>
  <c r="X18" i="3" s="1"/>
  <c r="E27" i="3"/>
  <c r="B6" i="12"/>
  <c r="Z7" i="3"/>
  <c r="C16" i="10"/>
  <c r="C18" i="10" s="1"/>
  <c r="B3" i="12"/>
  <c r="C25" i="10"/>
  <c r="C22" i="14"/>
  <c r="D7" i="3"/>
  <c r="Y6" i="3"/>
  <c r="B49" i="8"/>
  <c r="D11" i="15"/>
  <c r="O49" i="8"/>
  <c r="C49" i="8" s="1"/>
  <c r="D49" i="8"/>
  <c r="B48" i="8"/>
  <c r="D50" i="8"/>
  <c r="O50" i="8"/>
  <c r="B50" i="8"/>
  <c r="B24" i="8"/>
  <c r="B31" i="8"/>
  <c r="B26" i="8"/>
  <c r="B22" i="8"/>
  <c r="B25" i="8"/>
  <c r="B39" i="8"/>
  <c r="B37" i="8"/>
  <c r="B34" i="8"/>
  <c r="B38" i="8"/>
  <c r="B42" i="8"/>
  <c r="B36" i="8"/>
  <c r="B41" i="8"/>
  <c r="B28" i="8"/>
  <c r="B29" i="8"/>
  <c r="B23" i="8"/>
  <c r="B30" i="8"/>
  <c r="B35" i="8"/>
  <c r="B27" i="8"/>
  <c r="B33" i="8"/>
  <c r="B32" i="8"/>
  <c r="O21" i="8"/>
  <c r="B40" i="8"/>
  <c r="O22" i="8"/>
  <c r="G1" i="3" l="1"/>
  <c r="G6" i="3"/>
  <c r="L11" i="3"/>
  <c r="Q2" i="3" s="1"/>
  <c r="L17" i="3"/>
  <c r="M11" i="3"/>
  <c r="Q7" i="3" s="1"/>
  <c r="X7" i="3"/>
  <c r="C29" i="10"/>
  <c r="D35" i="10" s="1"/>
  <c r="Y8" i="3"/>
  <c r="Y10" i="3" s="1"/>
  <c r="D8" i="3"/>
  <c r="G7" i="3" s="1"/>
  <c r="C19" i="10"/>
  <c r="C38" i="10" s="1"/>
  <c r="C17" i="10"/>
  <c r="C34" i="10" s="1"/>
  <c r="C23" i="14"/>
  <c r="C39" i="10"/>
  <c r="B7" i="12"/>
  <c r="F12" i="15"/>
  <c r="G12" i="15"/>
  <c r="F11" i="15"/>
  <c r="G11" i="15"/>
  <c r="B51" i="8"/>
  <c r="D51" i="8"/>
  <c r="O51" i="8"/>
  <c r="C50" i="8"/>
  <c r="O23" i="8"/>
  <c r="D9" i="3" l="1"/>
  <c r="G2" i="3"/>
  <c r="L12" i="3"/>
  <c r="Q3" i="3" s="1"/>
  <c r="L18" i="3"/>
  <c r="L19" i="3" s="1"/>
  <c r="M12" i="3"/>
  <c r="Q8" i="3" s="1"/>
  <c r="C18" i="14"/>
  <c r="C19" i="14"/>
  <c r="C21" i="14"/>
  <c r="C24" i="14" s="1"/>
  <c r="D29" i="3"/>
  <c r="B8" i="12"/>
  <c r="B9" i="12" s="1"/>
  <c r="C35" i="10"/>
  <c r="F33" i="10" s="1"/>
  <c r="F14" i="15"/>
  <c r="F15" i="15" s="1"/>
  <c r="C40" i="10"/>
  <c r="D40" i="10" s="1"/>
  <c r="D39" i="10"/>
  <c r="D52" i="8"/>
  <c r="O52" i="8"/>
  <c r="C51" i="8"/>
  <c r="B52" i="8"/>
  <c r="O24" i="8"/>
  <c r="L2" i="3" l="1"/>
  <c r="M2" i="3"/>
  <c r="L1" i="3"/>
  <c r="M1" i="3"/>
  <c r="X3" i="3"/>
  <c r="X14" i="3"/>
  <c r="D21" i="14"/>
  <c r="D23" i="14"/>
  <c r="B10" i="12"/>
  <c r="Z5" i="3"/>
  <c r="L4" i="3"/>
  <c r="C11" i="3"/>
  <c r="G16" i="3" s="1"/>
  <c r="B53" i="8"/>
  <c r="C52" i="8"/>
  <c r="D53" i="8"/>
  <c r="O53" i="8"/>
  <c r="O25" i="8"/>
  <c r="L7" i="3" l="1"/>
  <c r="P5" i="3" s="1"/>
  <c r="G23" i="3"/>
  <c r="M7" i="3"/>
  <c r="P11" i="3" s="1"/>
  <c r="M4" i="3"/>
  <c r="P8" i="3" s="1"/>
  <c r="P2" i="3"/>
  <c r="X16" i="3"/>
  <c r="X5" i="3"/>
  <c r="D54" i="8"/>
  <c r="O54" i="8"/>
  <c r="B54" i="8"/>
  <c r="C53" i="8"/>
  <c r="O26" i="8"/>
  <c r="C54" i="8" l="1"/>
  <c r="B55" i="8"/>
  <c r="D55" i="8"/>
  <c r="O55" i="8"/>
  <c r="O27" i="8"/>
  <c r="C55" i="8" l="1"/>
  <c r="D56" i="8"/>
  <c r="O56" i="8"/>
  <c r="B56" i="8"/>
  <c r="O28" i="8"/>
  <c r="B57" i="8" l="1"/>
  <c r="C56" i="8"/>
  <c r="D57" i="8"/>
  <c r="O57" i="8"/>
  <c r="O29" i="8"/>
  <c r="C57" i="8" l="1"/>
  <c r="B58" i="8"/>
  <c r="D58" i="8"/>
  <c r="O58" i="8"/>
  <c r="O30" i="8"/>
  <c r="C58" i="8" l="1"/>
  <c r="D59" i="8"/>
  <c r="O59" i="8"/>
  <c r="B59" i="8"/>
  <c r="O31" i="8"/>
  <c r="C59" i="8" l="1"/>
  <c r="B60" i="8"/>
  <c r="D60" i="8"/>
  <c r="O60" i="8"/>
  <c r="O32" i="8"/>
  <c r="B61" i="8" l="1"/>
  <c r="C60" i="8"/>
  <c r="D61" i="8"/>
  <c r="O61" i="8"/>
  <c r="O33" i="8"/>
  <c r="C61" i="8" l="1"/>
  <c r="D62" i="8"/>
  <c r="O62" i="8"/>
  <c r="B62" i="8"/>
  <c r="O34" i="8"/>
  <c r="B63" i="8" l="1"/>
  <c r="C62" i="8"/>
  <c r="D63" i="8"/>
  <c r="O63" i="8"/>
  <c r="O35" i="8"/>
  <c r="C63" i="8" l="1"/>
  <c r="D64" i="8"/>
  <c r="O64" i="8"/>
  <c r="B64" i="8"/>
  <c r="O36" i="8"/>
  <c r="B65" i="8" l="1"/>
  <c r="D65" i="8"/>
  <c r="O65" i="8"/>
  <c r="C64" i="8"/>
  <c r="O37" i="8"/>
  <c r="C65" i="8" l="1"/>
  <c r="D66" i="8"/>
  <c r="O66" i="8"/>
  <c r="B66" i="8"/>
  <c r="O38" i="8"/>
  <c r="C66" i="8" l="1"/>
  <c r="B67" i="8"/>
  <c r="D67" i="8"/>
  <c r="O67" i="8"/>
  <c r="O39" i="8"/>
  <c r="D68" i="8" l="1"/>
  <c r="O68" i="8"/>
  <c r="B68" i="8"/>
  <c r="C67" i="8"/>
  <c r="O40" i="8"/>
  <c r="B69" i="8" l="1"/>
  <c r="C68" i="8"/>
  <c r="D69" i="8"/>
  <c r="O69" i="8"/>
  <c r="O41" i="8"/>
  <c r="C69" i="8" l="1"/>
  <c r="D70" i="8"/>
  <c r="O70" i="8"/>
  <c r="B70" i="8"/>
  <c r="O42" i="8"/>
  <c r="B71" i="8" l="1"/>
  <c r="C70" i="8"/>
  <c r="D71" i="8"/>
  <c r="O71" i="8"/>
  <c r="O44" i="8"/>
  <c r="O43" i="8"/>
  <c r="C71" i="8" l="1"/>
  <c r="E11" i="3" l="1"/>
  <c r="C4" i="2"/>
  <c r="C5" i="2"/>
  <c r="C6" i="2"/>
  <c r="C7" i="2"/>
  <c r="C8" i="2"/>
  <c r="C9" i="2"/>
  <c r="C12" i="2"/>
  <c r="C13" i="2"/>
  <c r="C14" i="2"/>
  <c r="C15" i="2"/>
  <c r="C16" i="2"/>
  <c r="R38" i="8" l="1"/>
  <c r="R24" i="8"/>
  <c r="R54" i="8" l="1"/>
  <c r="E54" i="8"/>
  <c r="Q54" i="8" s="1"/>
  <c r="R49" i="8"/>
  <c r="E49" i="8"/>
  <c r="Q49" i="8" s="1"/>
  <c r="R61" i="8"/>
  <c r="E61" i="8"/>
  <c r="Q61" i="8" s="1"/>
  <c r="R70" i="8"/>
  <c r="E70" i="8"/>
  <c r="Q70" i="8" s="1"/>
  <c r="R55" i="8"/>
  <c r="E55" i="8"/>
  <c r="Q55" i="8" s="1"/>
  <c r="R36" i="8"/>
  <c r="R60" i="8"/>
  <c r="E60" i="8"/>
  <c r="Q60" i="8" s="1"/>
  <c r="R67" i="8"/>
  <c r="E67" i="8"/>
  <c r="Q67" i="8" s="1"/>
  <c r="R64" i="8"/>
  <c r="E64" i="8"/>
  <c r="Q64" i="8" s="1"/>
  <c r="R32" i="8"/>
  <c r="R56" i="8"/>
  <c r="E56" i="8"/>
  <c r="Q56" i="8" s="1"/>
  <c r="R71" i="8"/>
  <c r="E71" i="8"/>
  <c r="Q71" i="8" s="1"/>
  <c r="R68" i="8"/>
  <c r="E68" i="8"/>
  <c r="Q68" i="8" s="1"/>
  <c r="R72" i="8"/>
  <c r="E72" i="8"/>
  <c r="Q72" i="8" s="1"/>
  <c r="R48" i="8"/>
  <c r="E48" i="8"/>
  <c r="Q48" i="8" s="1"/>
  <c r="R63" i="8"/>
  <c r="E63" i="8"/>
  <c r="Q63" i="8" s="1"/>
  <c r="R53" i="8"/>
  <c r="E53" i="8"/>
  <c r="Q53" i="8" s="1"/>
  <c r="R62" i="8"/>
  <c r="E62" i="8"/>
  <c r="Q62" i="8" s="1"/>
  <c r="R50" i="8"/>
  <c r="E50" i="8"/>
  <c r="Q50" i="8" s="1"/>
  <c r="R58" i="8"/>
  <c r="E58" i="8"/>
  <c r="Q58" i="8" s="1"/>
  <c r="R69" i="8"/>
  <c r="E69" i="8"/>
  <c r="Q69" i="8" s="1"/>
  <c r="R65" i="8"/>
  <c r="E65" i="8"/>
  <c r="Q65" i="8" s="1"/>
  <c r="R52" i="8"/>
  <c r="E52" i="8"/>
  <c r="Q52" i="8" s="1"/>
  <c r="R35" i="8"/>
  <c r="R51" i="8"/>
  <c r="E51" i="8"/>
  <c r="Q51" i="8" s="1"/>
  <c r="R34" i="8"/>
  <c r="R59" i="8"/>
  <c r="E59" i="8"/>
  <c r="Q59" i="8" s="1"/>
  <c r="R31" i="8"/>
  <c r="R57" i="8"/>
  <c r="E57" i="8"/>
  <c r="Q57" i="8" s="1"/>
  <c r="R66" i="8"/>
  <c r="E66" i="8"/>
  <c r="Q66" i="8" s="1"/>
  <c r="R25" i="8"/>
  <c r="R28" i="8"/>
  <c r="R27" i="8"/>
  <c r="R26" i="8"/>
  <c r="R39" i="8"/>
  <c r="R20" i="8"/>
  <c r="R44" i="8"/>
  <c r="R22" i="8"/>
  <c r="R23" i="8"/>
  <c r="R40" i="8"/>
  <c r="R21" i="8"/>
  <c r="R41" i="8"/>
  <c r="R33" i="8"/>
  <c r="R37" i="8"/>
  <c r="R43" i="8"/>
  <c r="R42" i="8"/>
  <c r="R29" i="8"/>
  <c r="R30" i="8"/>
  <c r="AA25" i="8"/>
  <c r="C20" i="8"/>
  <c r="E20" i="8"/>
  <c r="AA22" i="8"/>
  <c r="D28" i="3" l="1"/>
  <c r="C28" i="3"/>
  <c r="C21" i="8"/>
  <c r="D44" i="8"/>
  <c r="C44" i="8"/>
  <c r="AA26" i="8"/>
  <c r="D20" i="8"/>
  <c r="Q20" i="8"/>
  <c r="AA29" i="8" s="1"/>
  <c r="AA28" i="8"/>
  <c r="C23" i="8"/>
  <c r="D22" i="8"/>
  <c r="E44" i="8"/>
  <c r="Q44" i="8" s="1"/>
  <c r="E22" i="8" l="1"/>
  <c r="Q22" i="8" s="1"/>
  <c r="C22" i="8"/>
  <c r="C24" i="8"/>
  <c r="D23" i="8"/>
  <c r="E23" i="8"/>
  <c r="Q23" i="8" s="1"/>
  <c r="C25" i="8" l="1"/>
  <c r="D24" i="8"/>
  <c r="E24" i="8"/>
  <c r="Q24" i="8" s="1"/>
  <c r="C26" i="8" l="1"/>
  <c r="D25" i="8"/>
  <c r="E25" i="8"/>
  <c r="Q25" i="8" s="1"/>
  <c r="C27" i="8" l="1"/>
  <c r="D26" i="8"/>
  <c r="E26" i="8"/>
  <c r="Q26" i="8" s="1"/>
  <c r="C28" i="8" l="1"/>
  <c r="D27" i="8"/>
  <c r="E27" i="8"/>
  <c r="Q27" i="8" s="1"/>
  <c r="C29" i="8" l="1"/>
  <c r="D28" i="8"/>
  <c r="E28" i="8"/>
  <c r="Q28" i="8" s="1"/>
  <c r="C30" i="8" l="1"/>
  <c r="D29" i="8"/>
  <c r="E29" i="8"/>
  <c r="Q29" i="8" s="1"/>
  <c r="C31" i="8" l="1"/>
  <c r="D30" i="8"/>
  <c r="E30" i="8"/>
  <c r="Q30" i="8" s="1"/>
  <c r="C32" i="8" l="1"/>
  <c r="D31" i="8"/>
  <c r="E31" i="8"/>
  <c r="Q31" i="8" s="1"/>
  <c r="C33" i="8" l="1"/>
  <c r="D32" i="8"/>
  <c r="E32" i="8"/>
  <c r="Q32" i="8" s="1"/>
  <c r="C34" i="8" l="1"/>
  <c r="D33" i="8"/>
  <c r="E33" i="8"/>
  <c r="Q33" i="8" s="1"/>
  <c r="C35" i="8" l="1"/>
  <c r="D34" i="8"/>
  <c r="E34" i="8"/>
  <c r="Q34" i="8" s="1"/>
  <c r="C36" i="8" l="1"/>
  <c r="D35" i="8"/>
  <c r="E35" i="8"/>
  <c r="Q35" i="8" s="1"/>
  <c r="C37" i="8" l="1"/>
  <c r="D36" i="8"/>
  <c r="E36" i="8"/>
  <c r="Q36" i="8" s="1"/>
  <c r="C38" i="8" l="1"/>
  <c r="D37" i="8"/>
  <c r="E37" i="8"/>
  <c r="Q37" i="8" s="1"/>
  <c r="C39" i="8" l="1"/>
  <c r="D38" i="8"/>
  <c r="E38" i="8"/>
  <c r="Q38" i="8" s="1"/>
  <c r="C40" i="8" l="1"/>
  <c r="D39" i="8"/>
  <c r="E39" i="8"/>
  <c r="Q39" i="8" s="1"/>
  <c r="C41" i="8" l="1"/>
  <c r="D40" i="8"/>
  <c r="E40" i="8"/>
  <c r="Q40" i="8" s="1"/>
  <c r="C42" i="8" l="1"/>
  <c r="D41" i="8"/>
  <c r="E41" i="8"/>
  <c r="Q41" i="8" s="1"/>
  <c r="C43" i="8" l="1"/>
  <c r="D42" i="8"/>
  <c r="E42" i="8"/>
  <c r="Q42" i="8" s="1"/>
  <c r="D43" i="8" l="1"/>
  <c r="E43" i="8"/>
  <c r="Q43" i="8" s="1"/>
  <c r="D21" i="8" l="1"/>
  <c r="E21" i="8"/>
  <c r="Q21" i="8" s="1"/>
  <c r="B21" i="8"/>
  <c r="E9" i="3"/>
  <c r="G3" i="3"/>
  <c r="P4" i="3"/>
  <c r="Q4" i="3"/>
  <c r="X4" i="3"/>
  <c r="Z4" i="3"/>
  <c r="L6" i="3"/>
  <c r="M6" i="3"/>
  <c r="G8" i="3"/>
  <c r="Q9" i="3"/>
  <c r="P10" i="3"/>
  <c r="X10" i="3"/>
  <c r="Z10" i="3"/>
  <c r="Y11" i="3"/>
  <c r="C12" i="3"/>
  <c r="D12" i="3"/>
  <c r="E12" i="3"/>
  <c r="G12" i="3"/>
  <c r="G13" i="3"/>
  <c r="L13" i="3"/>
  <c r="M13" i="3"/>
  <c r="C14" i="3"/>
  <c r="D14" i="3"/>
  <c r="E14" i="3"/>
  <c r="X15" i="3"/>
  <c r="C16" i="3"/>
  <c r="D16" i="3"/>
  <c r="E16" i="3"/>
  <c r="E17" i="3"/>
  <c r="G17" i="3"/>
  <c r="L21" i="3"/>
  <c r="G22" i="3"/>
  <c r="L23" i="3"/>
  <c r="M23" i="3"/>
  <c r="E12" i="8"/>
  <c r="F20" i="8"/>
  <c r="G20" i="8"/>
  <c r="H20" i="8"/>
  <c r="J20" i="8"/>
  <c r="U20" i="8"/>
  <c r="V20" i="8"/>
  <c r="W20" i="8"/>
  <c r="F21" i="8"/>
  <c r="G21" i="8"/>
  <c r="H21" i="8"/>
  <c r="J21" i="8"/>
  <c r="U21" i="8"/>
  <c r="V21" i="8"/>
  <c r="W21" i="8"/>
  <c r="F22" i="8"/>
  <c r="G22" i="8"/>
  <c r="H22" i="8"/>
  <c r="J22" i="8"/>
  <c r="U22" i="8"/>
  <c r="V22" i="8"/>
  <c r="W22" i="8"/>
  <c r="F23" i="8"/>
  <c r="G23" i="8"/>
  <c r="H23" i="8"/>
  <c r="J23" i="8"/>
  <c r="U23" i="8"/>
  <c r="V23" i="8"/>
  <c r="W23" i="8"/>
  <c r="F24" i="8"/>
  <c r="G24" i="8"/>
  <c r="H24" i="8"/>
  <c r="J24" i="8"/>
  <c r="U24" i="8"/>
  <c r="V24" i="8"/>
  <c r="W24" i="8"/>
  <c r="F25" i="8"/>
  <c r="G25" i="8"/>
  <c r="H25" i="8"/>
  <c r="J25" i="8"/>
  <c r="U25" i="8"/>
  <c r="V25" i="8"/>
  <c r="W25" i="8"/>
  <c r="F26" i="8"/>
  <c r="G26" i="8"/>
  <c r="H26" i="8"/>
  <c r="J26" i="8"/>
  <c r="U26" i="8"/>
  <c r="V26" i="8"/>
  <c r="W26" i="8"/>
  <c r="F27" i="8"/>
  <c r="G27" i="8"/>
  <c r="H27" i="8"/>
  <c r="J27" i="8"/>
  <c r="U27" i="8"/>
  <c r="V27" i="8"/>
  <c r="W27" i="8"/>
  <c r="F28" i="8"/>
  <c r="G28" i="8"/>
  <c r="H28" i="8"/>
  <c r="J28" i="8"/>
  <c r="U28" i="8"/>
  <c r="V28" i="8"/>
  <c r="W28" i="8"/>
  <c r="F29" i="8"/>
  <c r="G29" i="8"/>
  <c r="H29" i="8"/>
  <c r="J29" i="8"/>
  <c r="U29" i="8"/>
  <c r="V29" i="8"/>
  <c r="W29" i="8"/>
  <c r="F30" i="8"/>
  <c r="G30" i="8"/>
  <c r="H30" i="8"/>
  <c r="J30" i="8"/>
  <c r="U30" i="8"/>
  <c r="V30" i="8"/>
  <c r="W30" i="8"/>
  <c r="AA30" i="8"/>
  <c r="F31" i="8"/>
  <c r="G31" i="8"/>
  <c r="H31" i="8"/>
  <c r="J31" i="8"/>
  <c r="U31" i="8"/>
  <c r="V31" i="8"/>
  <c r="W31" i="8"/>
  <c r="AA31" i="8"/>
  <c r="F32" i="8"/>
  <c r="G32" i="8"/>
  <c r="H32" i="8"/>
  <c r="J32" i="8"/>
  <c r="U32" i="8"/>
  <c r="V32" i="8"/>
  <c r="W32" i="8"/>
  <c r="F33" i="8"/>
  <c r="G33" i="8"/>
  <c r="H33" i="8"/>
  <c r="J33" i="8"/>
  <c r="U33" i="8"/>
  <c r="V33" i="8"/>
  <c r="W33" i="8"/>
  <c r="F34" i="8"/>
  <c r="G34" i="8"/>
  <c r="H34" i="8"/>
  <c r="J34" i="8"/>
  <c r="U34" i="8"/>
  <c r="V34" i="8"/>
  <c r="W34" i="8"/>
  <c r="F35" i="8"/>
  <c r="G35" i="8"/>
  <c r="H35" i="8"/>
  <c r="J35" i="8"/>
  <c r="U35" i="8"/>
  <c r="V35" i="8"/>
  <c r="W35" i="8"/>
  <c r="AA35" i="8"/>
  <c r="F36" i="8"/>
  <c r="G36" i="8"/>
  <c r="H36" i="8"/>
  <c r="J36" i="8"/>
  <c r="U36" i="8"/>
  <c r="V36" i="8"/>
  <c r="W36" i="8"/>
  <c r="F37" i="8"/>
  <c r="G37" i="8"/>
  <c r="H37" i="8"/>
  <c r="J37" i="8"/>
  <c r="U37" i="8"/>
  <c r="V37" i="8"/>
  <c r="W37" i="8"/>
  <c r="F38" i="8"/>
  <c r="G38" i="8"/>
  <c r="H38" i="8"/>
  <c r="J38" i="8"/>
  <c r="U38" i="8"/>
  <c r="V38" i="8"/>
  <c r="W38" i="8"/>
  <c r="F39" i="8"/>
  <c r="G39" i="8"/>
  <c r="H39" i="8"/>
  <c r="J39" i="8"/>
  <c r="U39" i="8"/>
  <c r="V39" i="8"/>
  <c r="W39" i="8"/>
  <c r="F40" i="8"/>
  <c r="G40" i="8"/>
  <c r="H40" i="8"/>
  <c r="J40" i="8"/>
  <c r="U40" i="8"/>
  <c r="V40" i="8"/>
  <c r="W40" i="8"/>
  <c r="F41" i="8"/>
  <c r="G41" i="8"/>
  <c r="H41" i="8"/>
  <c r="J41" i="8"/>
  <c r="U41" i="8"/>
  <c r="V41" i="8"/>
  <c r="W41" i="8"/>
  <c r="F42" i="8"/>
  <c r="G42" i="8"/>
  <c r="H42" i="8"/>
  <c r="J42" i="8"/>
  <c r="U42" i="8"/>
  <c r="V42" i="8"/>
  <c r="W42" i="8"/>
  <c r="F43" i="8"/>
  <c r="G43" i="8"/>
  <c r="H43" i="8"/>
  <c r="J43" i="8"/>
  <c r="U43" i="8"/>
  <c r="V43" i="8"/>
  <c r="W43" i="8"/>
  <c r="F44" i="8"/>
  <c r="G44" i="8"/>
  <c r="H44" i="8"/>
  <c r="J44" i="8"/>
  <c r="U44" i="8"/>
  <c r="V44" i="8"/>
  <c r="W44" i="8"/>
  <c r="J45" i="8"/>
  <c r="F48" i="8"/>
  <c r="G48" i="8"/>
  <c r="H48" i="8"/>
  <c r="J48" i="8"/>
  <c r="U48" i="8"/>
  <c r="V48" i="8"/>
  <c r="W48" i="8"/>
  <c r="F49" i="8"/>
  <c r="G49" i="8"/>
  <c r="H49" i="8"/>
  <c r="J49" i="8"/>
  <c r="U49" i="8"/>
  <c r="V49" i="8"/>
  <c r="W49" i="8"/>
  <c r="F50" i="8"/>
  <c r="G50" i="8"/>
  <c r="H50" i="8"/>
  <c r="J50" i="8"/>
  <c r="U50" i="8"/>
  <c r="V50" i="8"/>
  <c r="W50" i="8"/>
  <c r="F51" i="8"/>
  <c r="G51" i="8"/>
  <c r="H51" i="8"/>
  <c r="J51" i="8"/>
  <c r="U51" i="8"/>
  <c r="V51" i="8"/>
  <c r="W51" i="8"/>
  <c r="F52" i="8"/>
  <c r="G52" i="8"/>
  <c r="H52" i="8"/>
  <c r="J52" i="8"/>
  <c r="U52" i="8"/>
  <c r="V52" i="8"/>
  <c r="W52" i="8"/>
  <c r="F53" i="8"/>
  <c r="G53" i="8"/>
  <c r="H53" i="8"/>
  <c r="J53" i="8"/>
  <c r="U53" i="8"/>
  <c r="V53" i="8"/>
  <c r="W53" i="8"/>
  <c r="F54" i="8"/>
  <c r="G54" i="8"/>
  <c r="H54" i="8"/>
  <c r="J54" i="8"/>
  <c r="U54" i="8"/>
  <c r="V54" i="8"/>
  <c r="W54" i="8"/>
  <c r="F55" i="8"/>
  <c r="G55" i="8"/>
  <c r="H55" i="8"/>
  <c r="J55" i="8"/>
  <c r="U55" i="8"/>
  <c r="V55" i="8"/>
  <c r="W55" i="8"/>
  <c r="F56" i="8"/>
  <c r="G56" i="8"/>
  <c r="H56" i="8"/>
  <c r="J56" i="8"/>
  <c r="U56" i="8"/>
  <c r="V56" i="8"/>
  <c r="W56" i="8"/>
  <c r="F57" i="8"/>
  <c r="G57" i="8"/>
  <c r="H57" i="8"/>
  <c r="J57" i="8"/>
  <c r="U57" i="8"/>
  <c r="V57" i="8"/>
  <c r="W57" i="8"/>
  <c r="F58" i="8"/>
  <c r="G58" i="8"/>
  <c r="H58" i="8"/>
  <c r="J58" i="8"/>
  <c r="U58" i="8"/>
  <c r="V58" i="8"/>
  <c r="W58" i="8"/>
  <c r="F59" i="8"/>
  <c r="G59" i="8"/>
  <c r="H59" i="8"/>
  <c r="J59" i="8"/>
  <c r="U59" i="8"/>
  <c r="V59" i="8"/>
  <c r="W59" i="8"/>
  <c r="F60" i="8"/>
  <c r="G60" i="8"/>
  <c r="H60" i="8"/>
  <c r="J60" i="8"/>
  <c r="U60" i="8"/>
  <c r="V60" i="8"/>
  <c r="W60" i="8"/>
  <c r="F61" i="8"/>
  <c r="G61" i="8"/>
  <c r="H61" i="8"/>
  <c r="J61" i="8"/>
  <c r="U61" i="8"/>
  <c r="V61" i="8"/>
  <c r="W61" i="8"/>
  <c r="F62" i="8"/>
  <c r="G62" i="8"/>
  <c r="H62" i="8"/>
  <c r="J62" i="8"/>
  <c r="U62" i="8"/>
  <c r="V62" i="8"/>
  <c r="W62" i="8"/>
  <c r="F63" i="8"/>
  <c r="G63" i="8"/>
  <c r="H63" i="8"/>
  <c r="J63" i="8"/>
  <c r="U63" i="8"/>
  <c r="V63" i="8"/>
  <c r="W63" i="8"/>
  <c r="F64" i="8"/>
  <c r="G64" i="8"/>
  <c r="H64" i="8"/>
  <c r="J64" i="8"/>
  <c r="U64" i="8"/>
  <c r="V64" i="8"/>
  <c r="W64" i="8"/>
  <c r="F65" i="8"/>
  <c r="G65" i="8"/>
  <c r="H65" i="8"/>
  <c r="J65" i="8"/>
  <c r="U65" i="8"/>
  <c r="V65" i="8"/>
  <c r="W65" i="8"/>
  <c r="F66" i="8"/>
  <c r="G66" i="8"/>
  <c r="H66" i="8"/>
  <c r="J66" i="8"/>
  <c r="U66" i="8"/>
  <c r="V66" i="8"/>
  <c r="W66" i="8"/>
  <c r="F67" i="8"/>
  <c r="G67" i="8"/>
  <c r="H67" i="8"/>
  <c r="J67" i="8"/>
  <c r="U67" i="8"/>
  <c r="V67" i="8"/>
  <c r="W67" i="8"/>
  <c r="F68" i="8"/>
  <c r="G68" i="8"/>
  <c r="H68" i="8"/>
  <c r="J68" i="8"/>
  <c r="U68" i="8"/>
  <c r="V68" i="8"/>
  <c r="W68" i="8"/>
  <c r="F69" i="8"/>
  <c r="G69" i="8"/>
  <c r="H69" i="8"/>
  <c r="J69" i="8"/>
  <c r="U69" i="8"/>
  <c r="V69" i="8"/>
  <c r="W69" i="8"/>
  <c r="F70" i="8"/>
  <c r="G70" i="8"/>
  <c r="H70" i="8"/>
  <c r="J70" i="8"/>
  <c r="U70" i="8"/>
  <c r="V70" i="8"/>
  <c r="W70" i="8"/>
  <c r="F71" i="8"/>
  <c r="G71" i="8"/>
  <c r="H71" i="8"/>
  <c r="J71" i="8"/>
  <c r="U71" i="8"/>
  <c r="V71" i="8"/>
  <c r="W71" i="8"/>
  <c r="F72" i="8"/>
  <c r="G72" i="8"/>
  <c r="H72" i="8"/>
  <c r="J72" i="8"/>
  <c r="U72" i="8"/>
  <c r="V72" i="8"/>
  <c r="W72" i="8"/>
  <c r="J7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Mella</author>
  </authors>
  <commentList>
    <comment ref="I7" authorId="0" shapeId="0" xr:uid="{E9C8976B-D147-7846-A079-52DFF3AD26B5}">
      <text>
        <r>
          <rPr>
            <b/>
            <sz val="10"/>
            <color rgb="FF000000"/>
            <rFont val="Tahoma"/>
            <family val="2"/>
          </rPr>
          <t>Ignacio Mella: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The capital cost determination relies on unit costs
</t>
        </r>
        <r>
          <rPr>
            <sz val="10"/>
            <color rgb="FF000000"/>
            <rFont val="Tahoma"/>
            <family val="2"/>
          </rPr>
          <t>of US$ 2/kg for steel pipe and US$ 125/m for FBE coating.</t>
        </r>
      </text>
    </comment>
  </commentList>
</comments>
</file>

<file path=xl/sharedStrings.xml><?xml version="1.0" encoding="utf-8"?>
<sst xmlns="http://schemas.openxmlformats.org/spreadsheetml/2006/main" count="438" uniqueCount="275">
  <si>
    <t>km</t>
  </si>
  <si>
    <t>Year</t>
  </si>
  <si>
    <t>m</t>
  </si>
  <si>
    <t>Design flow rate</t>
  </si>
  <si>
    <t>L/s</t>
  </si>
  <si>
    <t>m³/s</t>
  </si>
  <si>
    <t>m³/h</t>
  </si>
  <si>
    <t>kg/m³</t>
  </si>
  <si>
    <t>inches</t>
  </si>
  <si>
    <t>cP</t>
  </si>
  <si>
    <t>mm</t>
  </si>
  <si>
    <t>h/yr</t>
  </si>
  <si>
    <t>Gravitational acceleration</t>
  </si>
  <si>
    <t>m/s²</t>
  </si>
  <si>
    <t>Pump efficiency</t>
  </si>
  <si>
    <t>mm/yr</t>
  </si>
  <si>
    <t>Difference</t>
  </si>
  <si>
    <t>Bare</t>
  </si>
  <si>
    <t>FBE</t>
  </si>
  <si>
    <t>Extra Steel</t>
  </si>
  <si>
    <t>Biocide</t>
  </si>
  <si>
    <t>Total</t>
  </si>
  <si>
    <t>%</t>
  </si>
  <si>
    <t>Unit</t>
  </si>
  <si>
    <t>Value</t>
  </si>
  <si>
    <t>t</t>
  </si>
  <si>
    <t>m/s</t>
  </si>
  <si>
    <t>Velocidad Máxima de Operación Drenajes de Emergencia</t>
  </si>
  <si>
    <t>Velocidad Máxima de Operación Estaciones de Bombeo</t>
  </si>
  <si>
    <t>Rugosidad Absoluta Revestimiento Interior FBE</t>
  </si>
  <si>
    <t>Caudal Mínimo de operación</t>
  </si>
  <si>
    <t>Caudal de Diseño</t>
  </si>
  <si>
    <t>Viscosidad Dinámica Fluido</t>
  </si>
  <si>
    <t>Densidad Fluido</t>
  </si>
  <si>
    <t>°C</t>
  </si>
  <si>
    <t>Temperatura Fluido</t>
  </si>
  <si>
    <t>Valor</t>
  </si>
  <si>
    <t>Unidad</t>
  </si>
  <si>
    <t>Parámetro</t>
  </si>
  <si>
    <t>Túnel Coirón 28"</t>
  </si>
  <si>
    <t>Tunel La Guardia 28"</t>
  </si>
  <si>
    <t>Tunel Las Ánimas II 28"</t>
  </si>
  <si>
    <t>Descarga Bombas 14" EB3</t>
  </si>
  <si>
    <t>Manifold 28" EB3</t>
  </si>
  <si>
    <t>Máxima Presión Transiente (kPa(g))</t>
  </si>
  <si>
    <t>Fuerza Máxima (kgf)</t>
  </si>
  <si>
    <t>Elevación (msnm)</t>
  </si>
  <si>
    <t>Ubicación Longitudinal (km)</t>
  </si>
  <si>
    <t>max pressure</t>
  </si>
  <si>
    <t>Instalación</t>
  </si>
  <si>
    <t>Puente Río Choapa</t>
  </si>
  <si>
    <t>Puente Cruce Tranquilla</t>
  </si>
  <si>
    <t>Puente Estero Camisas</t>
  </si>
  <si>
    <t>Túnel Coirón</t>
  </si>
  <si>
    <t>Túnel La Guardia</t>
  </si>
  <si>
    <t>Túnel Las Ánimas</t>
  </si>
  <si>
    <t>Presión Operacional (kPa(g))</t>
  </si>
  <si>
    <t>psi</t>
  </si>
  <si>
    <t>$/t</t>
  </si>
  <si>
    <t>m³/day</t>
  </si>
  <si>
    <t>Cost Component</t>
  </si>
  <si>
    <t>m²</t>
  </si>
  <si>
    <t>Cost per Joint</t>
  </si>
  <si>
    <t>$/km</t>
  </si>
  <si>
    <t>Bare Pipe</t>
  </si>
  <si>
    <t>Bare pipe</t>
  </si>
  <si>
    <t>Inhibitors</t>
  </si>
  <si>
    <t>Inspections</t>
  </si>
  <si>
    <t>Dosing Plant</t>
  </si>
  <si>
    <t>Item</t>
  </si>
  <si>
    <t>Annual discount Rate</t>
  </si>
  <si>
    <t>Interior FBE thickness</t>
  </si>
  <si>
    <t>Velocidad Diseño</t>
  </si>
  <si>
    <t>Wall thickness
[m]</t>
  </si>
  <si>
    <t>Head
Loss
[ m ]</t>
  </si>
  <si>
    <t>Yr</t>
  </si>
  <si>
    <t>Pipe
roughness
[m]</t>
  </si>
  <si>
    <t>Pipe
roughness
[ mm ]</t>
  </si>
  <si>
    <t>Flow
[L/s]</t>
  </si>
  <si>
    <t>Interior
Diameter
[ mm ]</t>
  </si>
  <si>
    <t>Viscosity
[ Pa·s ]</t>
  </si>
  <si>
    <t>Reynolds
Number
Re</t>
  </si>
  <si>
    <t>Reynolds Number</t>
  </si>
  <si>
    <t>Friction factor</t>
  </si>
  <si>
    <t>Annual hours of operation</t>
  </si>
  <si>
    <t>kg/m3</t>
  </si>
  <si>
    <t>m3/s</t>
  </si>
  <si>
    <t>Pa·s</t>
  </si>
  <si>
    <t xml:space="preserve">Density </t>
  </si>
  <si>
    <t xml:space="preserve">Flow </t>
  </si>
  <si>
    <t xml:space="preserve">Viscosity </t>
  </si>
  <si>
    <t xml:space="preserve">Exterior Diameter </t>
  </si>
  <si>
    <t xml:space="preserve">Interior Diameter </t>
  </si>
  <si>
    <t xml:space="preserve">Wall thickness </t>
  </si>
  <si>
    <t xml:space="preserve">Rougness </t>
  </si>
  <si>
    <t xml:space="preserve">Velocity </t>
  </si>
  <si>
    <t xml:space="preserve">Pump Efficiency </t>
  </si>
  <si>
    <t xml:space="preserve">Pump Power </t>
  </si>
  <si>
    <t xml:space="preserve">Energy cost </t>
  </si>
  <si>
    <t>FBE coated</t>
  </si>
  <si>
    <t>Flow
Rate
[m3/s]</t>
  </si>
  <si>
    <t>Friction
factor
f</t>
  </si>
  <si>
    <t>Wall
thickness
[ mm ]</t>
  </si>
  <si>
    <t>Eq
Left
Side</t>
  </si>
  <si>
    <t>Eq
Right
Side</t>
  </si>
  <si>
    <t>f
diff
Error</t>
  </si>
  <si>
    <t>Fluid 
Velocity
[m/s]</t>
  </si>
  <si>
    <t>Outside
Diameter [m]</t>
  </si>
  <si>
    <t>Inside
Diameter
[m]</t>
  </si>
  <si>
    <t>Dynamic viscosity of water</t>
  </si>
  <si>
    <t>Density
kg/m3</t>
  </si>
  <si>
    <t>$/joint</t>
  </si>
  <si>
    <t>$/kWh</t>
  </si>
  <si>
    <t xml:space="preserve">Friction Head Loss </t>
  </si>
  <si>
    <t>Elevation Head Loss</t>
  </si>
  <si>
    <t>C</t>
  </si>
  <si>
    <t>W</t>
  </si>
  <si>
    <t>$/yr</t>
  </si>
  <si>
    <t>Annual cost of energy · C</t>
  </si>
  <si>
    <t>Extra Inspections</t>
  </si>
  <si>
    <t>OpEx</t>
  </si>
  <si>
    <t>Pump 
Elevation
[ kW ]</t>
  </si>
  <si>
    <t>Pump
Friction
[ kW ]</t>
  </si>
  <si>
    <t>Elevation</t>
  </si>
  <si>
    <t>Friction
factor f
[   ]</t>
  </si>
  <si>
    <t>Electricity
Friction 
[ M$ ]</t>
  </si>
  <si>
    <t>Electricity
Elevation
[ M$ ]</t>
  </si>
  <si>
    <t>Elevation Energy</t>
  </si>
  <si>
    <t>Extra Friction Energy</t>
  </si>
  <si>
    <t>Parameter</t>
  </si>
  <si>
    <t>Variable name</t>
  </si>
  <si>
    <t>X70 Steel density</t>
  </si>
  <si>
    <t>Outside diameter</t>
  </si>
  <si>
    <t>Segment length</t>
  </si>
  <si>
    <t>HRC price</t>
  </si>
  <si>
    <t>Roughness FBE year 1</t>
  </si>
  <si>
    <t>Roughness FBE year 25</t>
  </si>
  <si>
    <t>Roughness bare year 1</t>
  </si>
  <si>
    <t>Roughness bare year 25</t>
  </si>
  <si>
    <t>FBE wall  year 1</t>
  </si>
  <si>
    <t>Bare wall  year 1</t>
  </si>
  <si>
    <t>SI base unit</t>
  </si>
  <si>
    <t>Field coating</t>
  </si>
  <si>
    <t>Electrical energy</t>
  </si>
  <si>
    <t>Pipeline Length</t>
  </si>
  <si>
    <t>Arbitrary</t>
  </si>
  <si>
    <t>yr</t>
  </si>
  <si>
    <t>$/MWh</t>
  </si>
  <si>
    <t>Elevation change</t>
  </si>
  <si>
    <t>Bare Inside Diameter year 1</t>
  </si>
  <si>
    <t>FBE Inside Diameter year 1</t>
  </si>
  <si>
    <t>Service life</t>
  </si>
  <si>
    <t>Wall corrosion rate</t>
  </si>
  <si>
    <t>Fluid density</t>
  </si>
  <si>
    <t>Bare wall yr 1</t>
  </si>
  <si>
    <t>Length of pipeline</t>
  </si>
  <si>
    <t>hot-rolled steel coil (hrc) price</t>
  </si>
  <si>
    <t>kg</t>
  </si>
  <si>
    <t>Freight cost</t>
  </si>
  <si>
    <t>$/kg</t>
  </si>
  <si>
    <t>$</t>
  </si>
  <si>
    <t>China Inland</t>
  </si>
  <si>
    <t>Ocean Freight</t>
  </si>
  <si>
    <t>Chile Inland</t>
  </si>
  <si>
    <t>Cost of bare pipes</t>
  </si>
  <si>
    <t>FBE wall yr 1</t>
  </si>
  <si>
    <t>Cost of FBE pipes</t>
  </si>
  <si>
    <t>Cost of steel</t>
  </si>
  <si>
    <t>Diff/Bare</t>
  </si>
  <si>
    <t>Strategy</t>
  </si>
  <si>
    <t>Steel cost</t>
  </si>
  <si>
    <t>Percentage</t>
  </si>
  <si>
    <t>Seconds in a day</t>
  </si>
  <si>
    <t>s/day</t>
  </si>
  <si>
    <t>Flow rate</t>
  </si>
  <si>
    <t>Dosage plant upfront investment per flow rate</t>
  </si>
  <si>
    <t>Dosage plant investment</t>
  </si>
  <si>
    <t>$/m²</t>
  </si>
  <si>
    <t>Mobilization of Crew &amp; Equipment</t>
  </si>
  <si>
    <t>Demobilization of Crew &amp; Equipment</t>
  </si>
  <si>
    <t>Personnel &amp; Robotic Equipment</t>
  </si>
  <si>
    <t>Pre-blasting Personnel &amp; Equipment</t>
  </si>
  <si>
    <t>Internal Coating Application</t>
  </si>
  <si>
    <t>Pipe-End Pre-blasting</t>
  </si>
  <si>
    <t>Total Cost per Joint</t>
  </si>
  <si>
    <t>Total Field Internal Coating</t>
  </si>
  <si>
    <t>Joints</t>
  </si>
  <si>
    <t>hr/yr</t>
  </si>
  <si>
    <t>m³</t>
  </si>
  <si>
    <t>Total volume</t>
  </si>
  <si>
    <t>Inhibitor</t>
  </si>
  <si>
    <t>m³/month</t>
  </si>
  <si>
    <t>m³/hr</t>
  </si>
  <si>
    <t>Dosage</t>
  </si>
  <si>
    <t>Price 
[ $/kg ]</t>
  </si>
  <si>
    <t>Mass
[ kg/yr ]</t>
  </si>
  <si>
    <t>Compound</t>
  </si>
  <si>
    <t>Mass
[ kg/month ]</t>
  </si>
  <si>
    <t>Discount Rate</t>
  </si>
  <si>
    <t>Present Value</t>
  </si>
  <si>
    <t>Inside Diameter (D)</t>
  </si>
  <si>
    <t>Pipeline Liength (L)</t>
  </si>
  <si>
    <t>FBE pipeline Inner Surface (pi·D·L)</t>
  </si>
  <si>
    <t>Cost per interior Surface Area (CPS)</t>
  </si>
  <si>
    <t>Bare · Volume of 1 m of pipe</t>
  </si>
  <si>
    <t>Bare · Inside Diameter Yr 1</t>
  </si>
  <si>
    <t>Bare · Steel weight of pipes</t>
  </si>
  <si>
    <t>FBE · Inside Diameter Yr 1</t>
  </si>
  <si>
    <t>FBE · Volume of 1 m of pipe</t>
  </si>
  <si>
    <t>FBE · Steel weight of pipes</t>
  </si>
  <si>
    <t>Field Joint Coating</t>
  </si>
  <si>
    <t>Shop FBE coating</t>
  </si>
  <si>
    <t>Field joint coating</t>
  </si>
  <si>
    <t>Total steel cost</t>
  </si>
  <si>
    <t>Total Field Shop Steel</t>
  </si>
  <si>
    <t>Bare annual Inspection</t>
  </si>
  <si>
    <t>FBE annual Inspection</t>
  </si>
  <si>
    <t>Bare inspection cost</t>
  </si>
  <si>
    <t>FBE inspection cost</t>
  </si>
  <si>
    <t>Bare PV Inspection</t>
  </si>
  <si>
    <t>FBE PV Inspection</t>
  </si>
  <si>
    <t>Projected Price of electricity</t>
  </si>
  <si>
    <t>Fluid Density</t>
  </si>
  <si>
    <t>Shop Coating</t>
  </si>
  <si>
    <t>Extra Inhibitors</t>
  </si>
  <si>
    <t>Joint Field Coating</t>
  </si>
  <si>
    <t>Coated Pipe</t>
  </si>
  <si>
    <t>Bare pipe Cost of Electricity Year 1</t>
  </si>
  <si>
    <t>$/Wh</t>
  </si>
  <si>
    <t>Descuento por volumen</t>
  </si>
  <si>
    <t>Initial wall thickness</t>
  </si>
  <si>
    <t>Steel Weight</t>
  </si>
  <si>
    <t>Coated</t>
  </si>
  <si>
    <t>FBE percentage</t>
  </si>
  <si>
    <t>Steel Percentage</t>
  </si>
  <si>
    <t>NEEDED</t>
  </si>
  <si>
    <t>New commercial steel (0.045–0.09 mm)</t>
  </si>
  <si>
    <t>Field data from carbon steel water mains show roughness growth rates of 0.0055–0.0518 mm/yr, yielding 0.14–1.3 mm over 25 years.</t>
  </si>
  <si>
    <t>Average</t>
  </si>
  <si>
    <t>Comments</t>
  </si>
  <si>
    <t>The 0.015 mm value reflects field conditions with minor surface imperfections, aligning with coated pipe database</t>
  </si>
  <si>
    <t>https://www.imia.com/wp-content/uploads/2023/08/IMIA-WGP-126-22-Coating-Failures.pdf</t>
  </si>
  <si>
    <t>Terminal roughness of 0.035 mm better reflects seawater ageing dynamics while remaining within ISO 21809-2 tolerances</t>
  </si>
  <si>
    <t>https://www.pipeflow.com/pipe-pressure-drop-calculations/pipe-roughness</t>
  </si>
  <si>
    <t>https://apps.dtic.mil/sti/tr/pdf/ADA194321.pdf</t>
  </si>
  <si>
    <t>https://www.steelmains.com/files/TWT%2015140%20Comparison%20of%20Sintakote%20vs%20Epoxy%20coatings%20on%20steel%20water%20pipe.pdf</t>
  </si>
  <si>
    <t>https://nepis.epa.gov/Exe/ZyPURL.cgi?Dockey=10003FIW.TXT</t>
  </si>
  <si>
    <t>Confidential Quote</t>
  </si>
  <si>
    <t>The 0.15 mm/year corrosion rate assumption holds validity for industrial water systems with adequate treatment (pH 7–8.5, inhibitor dosing). However, seawater models require adjustment to 0.25–0.35 mm/year baseline rates with additional 0.12–0.18 mm/year biofouling roughness increments.</t>
  </si>
  <si>
    <t>https://gmk.center/en/posts/hot-rolled-coil-prices-have-increased-in-most-markets-since-the-beginning-of-the-year/</t>
  </si>
  <si>
    <t>Reference 1</t>
  </si>
  <si>
    <t>Reference 2</t>
  </si>
  <si>
    <t>Cost per weight (CPW)</t>
  </si>
  <si>
    <t>µm</t>
  </si>
  <si>
    <t>Friction Energy</t>
  </si>
  <si>
    <t>Steel design</t>
  </si>
  <si>
    <t>Steel corrosion</t>
  </si>
  <si>
    <t>Shop coating</t>
  </si>
  <si>
    <t>Cutback 0.5 m uncoated</t>
  </si>
  <si>
    <t>Rest of the pipe coated</t>
  </si>
  <si>
    <t>Times more expensive</t>
  </si>
  <si>
    <t>Times more expensive per surface area</t>
  </si>
  <si>
    <t>:Steel #0a82b0</t>
  </si>
  <si>
    <t>:Field Joint Coating #0a82b0</t>
  </si>
  <si>
    <t>:Shop Coating #0a82b0</t>
  </si>
  <si>
    <t>:Friction Energy #74b4dd</t>
  </si>
  <si>
    <t>:Inspections #74b4dd</t>
  </si>
  <si>
    <t>:Steel design #0a82b0</t>
  </si>
  <si>
    <t>:Steel corrosion #0a82b0</t>
  </si>
  <si>
    <t>:Dosing Plant #0a82b0</t>
  </si>
  <si>
    <t>:Inhibitors #74b4dd</t>
  </si>
  <si>
    <t>Design Steel</t>
  </si>
  <si>
    <t>Corrosion Steel</t>
  </si>
  <si>
    <t>CapEx</t>
  </si>
  <si>
    <t>Dosing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</si>
</sst>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3" formatCode="0.0"/>
    <numFmt numFmtId="177" formatCode="_-* #,##0.00000_-;\-* #,##0.00000_-;_-* &quot;-&quot;_-;_-@_-"/>
    <numFmt numFmtId="180" formatCode="_-* #,##0.00000000_-;\-* #,##0.00000000_-;_-* &quot;-&quot;_-;_-@_-"/>
    <numFmt numFmtId="181" formatCode="0\ &quot;psi&quot;"/>
    <numFmt numFmtId="182" formatCode="0.0000"/>
    <numFmt numFmtId="183" formatCode="&quot;$&quot;#,##0"/>
    <numFmt numFmtId="184" formatCode="&quot;$&quot;#,##0.00"/>
    <numFmt numFmtId="186" formatCode="_-* #,##0.000000_-;\-* #,##0.000000_-;_-* &quot;-&quot;??_-;_-@_-"/>
    <numFmt numFmtId="189" formatCode="&quot;$&quot;#,##0.00\ &quot;MM&quot;"/>
    <numFmt numFmtId="193" formatCode="0.000"/>
    <numFmt numFmtId="194" formatCode="0.0%"/>
    <numFmt numFmtId="197" formatCode="0.000000"/>
    <numFmt numFmtId="198" formatCode="0.00000"/>
    <numFmt numFmtId="199" formatCode="0.00000000000"/>
    <numFmt numFmtId="201" formatCode="0.E+00"/>
    <numFmt numFmtId="202" formatCode="_-* #,##0.00_-;\-* #,##0.00_-;_-* &quot;-&quot;_-;_-@_-"/>
    <numFmt numFmtId="203" formatCode="&quot;$&quot;#,##0.0"/>
    <numFmt numFmtId="204" formatCode="#,##0.0\ &quot;kg/month&quot;"/>
  </numFmts>
  <fonts count="26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rgb="FF212529"/>
      <name val="Arial"/>
      <family val="2"/>
    </font>
    <font>
      <sz val="8"/>
      <color theme="1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theme="1"/>
      <name val="Aptos Narrow"/>
      <family val="2"/>
      <scheme val="minor"/>
    </font>
    <font>
      <sz val="9"/>
      <color theme="0"/>
      <name val="Lucida Sans Typewriter Regular"/>
    </font>
    <font>
      <sz val="8"/>
      <color theme="0"/>
      <name val="Lucida Sans Typewriter Regular"/>
    </font>
    <font>
      <sz val="8"/>
      <color theme="0" tint="-0.34998626667073579"/>
      <name val="Lantinghei TC Extralight"/>
    </font>
    <font>
      <sz val="9"/>
      <color theme="0"/>
      <name val="Helvetica Neue Medium"/>
    </font>
    <font>
      <sz val="8"/>
      <color theme="0"/>
      <name val="Helvetica Neue Medium"/>
    </font>
    <font>
      <sz val="8"/>
      <color rgb="FFFFF700"/>
      <name val="Lucida Sans Typewriter Regular"/>
    </font>
    <font>
      <sz val="9"/>
      <color rgb="FFFFF700"/>
      <name val="Lucida Sans Typewriter Regular"/>
    </font>
    <font>
      <b/>
      <sz val="9"/>
      <color rgb="FFFFF700"/>
      <name val="Lucida Sans Typewriter Regular"/>
    </font>
    <font>
      <sz val="12"/>
      <color rgb="FF3F3F76"/>
      <name val="Aptos Narrow"/>
      <family val="2"/>
      <scheme val="minor"/>
    </font>
    <font>
      <sz val="11"/>
      <color theme="1"/>
      <name val="Times New Roman"/>
      <family val="1"/>
    </font>
    <font>
      <sz val="11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8"/>
      <color theme="1"/>
      <name val="Aptos Narrow"/>
      <family val="2"/>
      <scheme val="minor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Aptos Narrow"/>
      <scheme val="minor"/>
    </font>
    <font>
      <sz val="8"/>
      <color theme="0"/>
      <name val="Lantinghei TC Extralight"/>
    </font>
    <font>
      <u/>
      <sz val="12"/>
      <color theme="1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10220A"/>
        <bgColor indexed="64"/>
      </patternFill>
    </fill>
    <fill>
      <patternFill patternType="solid">
        <fgColor rgb="FFFFCC99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/>
      <right/>
      <top style="thin">
        <color theme="1"/>
      </top>
      <bottom style="thin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6" borderId="8" applyNumberFormat="0" applyAlignment="0" applyProtection="0"/>
    <xf numFmtId="0" fontId="25" fillId="0" borderId="0" applyNumberFormat="0" applyFill="0" applyBorder="0" applyAlignment="0" applyProtection="0"/>
  </cellStyleXfs>
  <cellXfs count="203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16" fontId="3" fillId="0" borderId="0" xfId="0" applyNumberFormat="1" applyFont="1"/>
    <xf numFmtId="16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81" fontId="2" fillId="0" borderId="0" xfId="0" applyNumberFormat="1" applyFont="1" applyAlignment="1">
      <alignment wrapText="1"/>
    </xf>
    <xf numFmtId="183" fontId="0" fillId="0" borderId="0" xfId="0" applyNumberFormat="1"/>
    <xf numFmtId="183" fontId="0" fillId="0" borderId="0" xfId="1" applyNumberFormat="1" applyFont="1"/>
    <xf numFmtId="194" fontId="0" fillId="0" borderId="0" xfId="3" applyNumberFormat="1" applyFont="1"/>
    <xf numFmtId="184" fontId="0" fillId="0" borderId="0" xfId="1" applyNumberFormat="1" applyFont="1"/>
    <xf numFmtId="184" fontId="0" fillId="0" borderId="0" xfId="0" applyNumberFormat="1"/>
    <xf numFmtId="0" fontId="0" fillId="0" borderId="0" xfId="0" applyAlignment="1">
      <alignment horizontal="right"/>
    </xf>
    <xf numFmtId="0" fontId="8" fillId="5" borderId="0" xfId="0" applyFont="1" applyFill="1" applyAlignment="1">
      <alignment horizontal="center"/>
    </xf>
    <xf numFmtId="0" fontId="10" fillId="5" borderId="0" xfId="0" applyFont="1" applyFill="1" applyAlignment="1">
      <alignment horizontal="center"/>
    </xf>
    <xf numFmtId="0" fontId="10" fillId="5" borderId="0" xfId="0" applyFont="1" applyFill="1"/>
    <xf numFmtId="0" fontId="8" fillId="5" borderId="0" xfId="0" applyFont="1" applyFill="1"/>
    <xf numFmtId="0" fontId="8" fillId="5" borderId="0" xfId="0" applyFont="1" applyFill="1" applyAlignment="1">
      <alignment horizontal="right"/>
    </xf>
    <xf numFmtId="0" fontId="10" fillId="5" borderId="6" xfId="0" applyFont="1" applyFill="1" applyBorder="1" applyAlignment="1">
      <alignment horizontal="center" wrapText="1"/>
    </xf>
    <xf numFmtId="0" fontId="9" fillId="5" borderId="6" xfId="0" applyFont="1" applyFill="1" applyBorder="1" applyAlignment="1">
      <alignment horizontal="right"/>
    </xf>
    <xf numFmtId="3" fontId="9" fillId="5" borderId="6" xfId="0" applyNumberFormat="1" applyFont="1" applyFill="1" applyBorder="1" applyAlignment="1">
      <alignment horizontal="right"/>
    </xf>
    <xf numFmtId="0" fontId="8" fillId="5" borderId="0" xfId="0" applyFont="1" applyFill="1" applyAlignment="1">
      <alignment horizontal="left" vertical="top"/>
    </xf>
    <xf numFmtId="193" fontId="8" fillId="5" borderId="0" xfId="0" applyNumberFormat="1" applyFont="1" applyFill="1" applyAlignment="1">
      <alignment horizontal="left" vertical="top"/>
    </xf>
    <xf numFmtId="193" fontId="8" fillId="5" borderId="0" xfId="1" applyNumberFormat="1" applyFont="1" applyFill="1" applyBorder="1" applyAlignment="1">
      <alignment horizontal="left" vertical="top"/>
    </xf>
    <xf numFmtId="198" fontId="8" fillId="5" borderId="0" xfId="1" applyNumberFormat="1" applyFont="1" applyFill="1" applyBorder="1" applyAlignment="1">
      <alignment horizontal="left" vertical="top"/>
    </xf>
    <xf numFmtId="197" fontId="8" fillId="5" borderId="0" xfId="0" applyNumberFormat="1" applyFont="1" applyFill="1" applyAlignment="1">
      <alignment horizontal="left" vertical="top"/>
    </xf>
    <xf numFmtId="2" fontId="8" fillId="5" borderId="0" xfId="0" applyNumberFormat="1" applyFont="1" applyFill="1" applyAlignment="1">
      <alignment horizontal="left" vertical="top"/>
    </xf>
    <xf numFmtId="1" fontId="8" fillId="5" borderId="0" xfId="1" applyNumberFormat="1" applyFont="1" applyFill="1" applyBorder="1" applyAlignment="1">
      <alignment horizontal="left" vertical="top"/>
    </xf>
    <xf numFmtId="0" fontId="10" fillId="5" borderId="0" xfId="0" applyFont="1" applyFill="1" applyAlignment="1">
      <alignment horizontal="left" vertical="top"/>
    </xf>
    <xf numFmtId="1" fontId="10" fillId="5" borderId="0" xfId="1" applyNumberFormat="1" applyFont="1" applyFill="1" applyBorder="1" applyAlignment="1">
      <alignment horizontal="center"/>
    </xf>
    <xf numFmtId="198" fontId="10" fillId="5" borderId="0" xfId="0" applyNumberFormat="1" applyFont="1" applyFill="1" applyAlignment="1">
      <alignment horizontal="center"/>
    </xf>
    <xf numFmtId="177" fontId="10" fillId="5" borderId="0" xfId="1" applyNumberFormat="1" applyFont="1" applyFill="1" applyBorder="1" applyAlignment="1">
      <alignment horizontal="center"/>
    </xf>
    <xf numFmtId="186" fontId="10" fillId="5" borderId="0" xfId="0" applyNumberFormat="1" applyFont="1" applyFill="1" applyAlignment="1">
      <alignment horizontal="center"/>
    </xf>
    <xf numFmtId="201" fontId="10" fillId="5" borderId="0" xfId="0" applyNumberFormat="1" applyFont="1" applyFill="1" applyAlignment="1">
      <alignment horizontal="right"/>
    </xf>
    <xf numFmtId="199" fontId="8" fillId="5" borderId="0" xfId="0" applyNumberFormat="1" applyFont="1" applyFill="1" applyAlignment="1">
      <alignment horizontal="right"/>
    </xf>
    <xf numFmtId="198" fontId="8" fillId="5" borderId="0" xfId="0" applyNumberFormat="1" applyFont="1" applyFill="1"/>
    <xf numFmtId="1" fontId="8" fillId="5" borderId="0" xfId="0" applyNumberFormat="1" applyFont="1" applyFill="1"/>
    <xf numFmtId="0" fontId="8" fillId="5" borderId="0" xfId="0" applyFont="1" applyFill="1" applyAlignment="1">
      <alignment horizontal="right" wrapText="1"/>
    </xf>
    <xf numFmtId="193" fontId="8" fillId="5" borderId="0" xfId="0" applyNumberFormat="1" applyFont="1" applyFill="1"/>
    <xf numFmtId="2" fontId="8" fillId="5" borderId="0" xfId="0" applyNumberFormat="1" applyFont="1" applyFill="1"/>
    <xf numFmtId="41" fontId="8" fillId="5" borderId="0" xfId="1" applyFont="1" applyFill="1" applyBorder="1" applyAlignment="1">
      <alignment horizontal="right"/>
    </xf>
    <xf numFmtId="197" fontId="8" fillId="5" borderId="0" xfId="0" applyNumberFormat="1" applyFont="1" applyFill="1"/>
    <xf numFmtId="0" fontId="8" fillId="5" borderId="2" xfId="0" applyFont="1" applyFill="1" applyBorder="1" applyAlignment="1">
      <alignment horizontal="left" vertical="top"/>
    </xf>
    <xf numFmtId="193" fontId="8" fillId="5" borderId="2" xfId="0" applyNumberFormat="1" applyFont="1" applyFill="1" applyBorder="1" applyAlignment="1">
      <alignment horizontal="left" vertical="top"/>
    </xf>
    <xf numFmtId="193" fontId="8" fillId="5" borderId="2" xfId="1" applyNumberFormat="1" applyFont="1" applyFill="1" applyBorder="1" applyAlignment="1">
      <alignment horizontal="left" vertical="top"/>
    </xf>
    <xf numFmtId="198" fontId="8" fillId="5" borderId="2" xfId="1" applyNumberFormat="1" applyFont="1" applyFill="1" applyBorder="1" applyAlignment="1">
      <alignment horizontal="left" vertical="top"/>
    </xf>
    <xf numFmtId="197" fontId="8" fillId="5" borderId="2" xfId="0" applyNumberFormat="1" applyFont="1" applyFill="1" applyBorder="1" applyAlignment="1">
      <alignment horizontal="left" vertical="top"/>
    </xf>
    <xf numFmtId="2" fontId="8" fillId="5" borderId="2" xfId="0" applyNumberFormat="1" applyFont="1" applyFill="1" applyBorder="1" applyAlignment="1">
      <alignment horizontal="left" vertical="top"/>
    </xf>
    <xf numFmtId="0" fontId="10" fillId="5" borderId="2" xfId="0" applyFont="1" applyFill="1" applyBorder="1" applyAlignment="1">
      <alignment horizontal="left" vertical="top"/>
    </xf>
    <xf numFmtId="0" fontId="10" fillId="5" borderId="2" xfId="0" applyFont="1" applyFill="1" applyBorder="1" applyAlignment="1">
      <alignment horizontal="center"/>
    </xf>
    <xf numFmtId="1" fontId="10" fillId="5" borderId="2" xfId="1" applyNumberFormat="1" applyFont="1" applyFill="1" applyBorder="1" applyAlignment="1">
      <alignment horizontal="center"/>
    </xf>
    <xf numFmtId="177" fontId="10" fillId="5" borderId="2" xfId="1" applyNumberFormat="1" applyFont="1" applyFill="1" applyBorder="1" applyAlignment="1">
      <alignment horizontal="center"/>
    </xf>
    <xf numFmtId="186" fontId="10" fillId="5" borderId="2" xfId="0" applyNumberFormat="1" applyFont="1" applyFill="1" applyBorder="1" applyAlignment="1">
      <alignment horizontal="center"/>
    </xf>
    <xf numFmtId="201" fontId="10" fillId="5" borderId="2" xfId="0" applyNumberFormat="1" applyFont="1" applyFill="1" applyBorder="1" applyAlignment="1">
      <alignment horizontal="right"/>
    </xf>
    <xf numFmtId="199" fontId="8" fillId="5" borderId="2" xfId="0" applyNumberFormat="1" applyFont="1" applyFill="1" applyBorder="1" applyAlignment="1">
      <alignment horizontal="right"/>
    </xf>
    <xf numFmtId="0" fontId="8" fillId="5" borderId="2" xfId="0" applyFont="1" applyFill="1" applyBorder="1"/>
    <xf numFmtId="182" fontId="8" fillId="5" borderId="0" xfId="0" applyNumberFormat="1" applyFont="1" applyFill="1" applyAlignment="1">
      <alignment horizontal="left" vertical="top"/>
    </xf>
    <xf numFmtId="197" fontId="10" fillId="5" borderId="0" xfId="0" applyNumberFormat="1" applyFont="1" applyFill="1" applyAlignment="1">
      <alignment horizontal="center"/>
    </xf>
    <xf numFmtId="182" fontId="8" fillId="5" borderId="2" xfId="0" applyNumberFormat="1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center"/>
    </xf>
    <xf numFmtId="0" fontId="9" fillId="5" borderId="6" xfId="0" applyFont="1" applyFill="1" applyBorder="1" applyAlignment="1">
      <alignment horizontal="left" wrapText="1"/>
    </xf>
    <xf numFmtId="0" fontId="10" fillId="5" borderId="6" xfId="0" applyFont="1" applyFill="1" applyBorder="1" applyAlignment="1">
      <alignment horizontal="left" wrapText="1"/>
    </xf>
    <xf numFmtId="0" fontId="9" fillId="5" borderId="0" xfId="0" applyFont="1" applyFill="1" applyAlignment="1">
      <alignment horizontal="left"/>
    </xf>
    <xf numFmtId="0" fontId="9" fillId="5" borderId="6" xfId="0" applyFont="1" applyFill="1" applyBorder="1" applyAlignment="1">
      <alignment horizontal="center" wrapText="1"/>
    </xf>
    <xf numFmtId="0" fontId="11" fillId="5" borderId="0" xfId="0" applyFont="1" applyFill="1" applyAlignment="1">
      <alignment horizontal="left"/>
    </xf>
    <xf numFmtId="0" fontId="11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/>
    <xf numFmtId="0" fontId="11" fillId="5" borderId="0" xfId="0" applyFont="1" applyFill="1"/>
    <xf numFmtId="6" fontId="15" fillId="5" borderId="0" xfId="1" applyNumberFormat="1" applyFont="1" applyFill="1" applyBorder="1" applyAlignment="1">
      <alignment horizontal="right" vertical="top"/>
    </xf>
    <xf numFmtId="0" fontId="7" fillId="0" borderId="5" xfId="0" applyFont="1" applyBorder="1"/>
    <xf numFmtId="0" fontId="0" fillId="0" borderId="9" xfId="0" applyBorder="1"/>
    <xf numFmtId="193" fontId="0" fillId="0" borderId="0" xfId="0" applyNumberFormat="1"/>
    <xf numFmtId="41" fontId="0" fillId="0" borderId="0" xfId="1" applyFont="1"/>
    <xf numFmtId="202" fontId="0" fillId="0" borderId="0" xfId="1" applyNumberFormat="1" applyFont="1"/>
    <xf numFmtId="0" fontId="0" fillId="0" borderId="2" xfId="0" applyBorder="1"/>
    <xf numFmtId="41" fontId="0" fillId="0" borderId="2" xfId="1" applyFont="1" applyBorder="1"/>
    <xf numFmtId="0" fontId="0" fillId="0" borderId="0" xfId="0" applyAlignment="1">
      <alignment horizontal="right" vertical="center"/>
    </xf>
    <xf numFmtId="9" fontId="0" fillId="0" borderId="0" xfId="3" applyFont="1" applyAlignment="1">
      <alignment horizontal="right" vertical="center"/>
    </xf>
    <xf numFmtId="183" fontId="0" fillId="0" borderId="0" xfId="1" applyNumberFormat="1" applyFont="1" applyAlignment="1">
      <alignment horizontal="right" vertical="center"/>
    </xf>
    <xf numFmtId="194" fontId="0" fillId="0" borderId="0" xfId="3" applyNumberFormat="1" applyFont="1" applyAlignment="1">
      <alignment horizontal="right" vertical="center"/>
    </xf>
    <xf numFmtId="203" fontId="0" fillId="0" borderId="0" xfId="2" applyNumberFormat="1" applyFont="1"/>
    <xf numFmtId="0" fontId="17" fillId="0" borderId="0" xfId="0" applyFont="1"/>
    <xf numFmtId="0" fontId="18" fillId="0" borderId="0" xfId="0" applyFont="1"/>
    <xf numFmtId="0" fontId="17" fillId="0" borderId="0" xfId="0" applyFont="1" applyAlignment="1">
      <alignment horizontal="left"/>
    </xf>
    <xf numFmtId="43" fontId="17" fillId="0" borderId="0" xfId="0" applyNumberFormat="1" applyFont="1"/>
    <xf numFmtId="0" fontId="17" fillId="0" borderId="0" xfId="0" applyFont="1" applyAlignment="1">
      <alignment horizontal="right"/>
    </xf>
    <xf numFmtId="41" fontId="17" fillId="0" borderId="0" xfId="1" applyFont="1" applyBorder="1"/>
    <xf numFmtId="0" fontId="17" fillId="2" borderId="0" xfId="0" applyFont="1" applyFill="1" applyAlignment="1">
      <alignment horizontal="right"/>
    </xf>
    <xf numFmtId="183" fontId="17" fillId="2" borderId="0" xfId="0" applyNumberFormat="1" applyFont="1" applyFill="1"/>
    <xf numFmtId="194" fontId="17" fillId="0" borderId="0" xfId="3" applyNumberFormat="1" applyFont="1" applyBorder="1"/>
    <xf numFmtId="18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right"/>
    </xf>
    <xf numFmtId="41" fontId="19" fillId="0" borderId="0" xfId="1" applyFont="1" applyBorder="1" applyAlignment="1">
      <alignment horizontal="right"/>
    </xf>
    <xf numFmtId="183" fontId="19" fillId="0" borderId="0" xfId="0" applyNumberFormat="1" applyFont="1" applyAlignment="1">
      <alignment horizontal="right"/>
    </xf>
    <xf numFmtId="194" fontId="18" fillId="0" borderId="0" xfId="3" applyNumberFormat="1" applyFont="1" applyBorder="1"/>
    <xf numFmtId="193" fontId="4" fillId="0" borderId="0" xfId="0" applyNumberFormat="1" applyFont="1" applyAlignment="1">
      <alignment horizontal="right"/>
    </xf>
    <xf numFmtId="193" fontId="4" fillId="0" borderId="2" xfId="0" applyNumberFormat="1" applyFont="1" applyBorder="1" applyAlignment="1">
      <alignment horizontal="right"/>
    </xf>
    <xf numFmtId="193" fontId="20" fillId="0" borderId="0" xfId="0" applyNumberFormat="1" applyFont="1"/>
    <xf numFmtId="184" fontId="0" fillId="0" borderId="2" xfId="0" applyNumberFormat="1" applyBorder="1"/>
    <xf numFmtId="6" fontId="0" fillId="0" borderId="0" xfId="0" applyNumberFormat="1"/>
    <xf numFmtId="0" fontId="21" fillId="0" borderId="0" xfId="0" applyFont="1"/>
    <xf numFmtId="0" fontId="22" fillId="0" borderId="0" xfId="0" applyFont="1"/>
    <xf numFmtId="6" fontId="21" fillId="0" borderId="0" xfId="0" applyNumberFormat="1" applyFont="1"/>
    <xf numFmtId="204" fontId="0" fillId="0" borderId="0" xfId="1" applyNumberFormat="1" applyFont="1"/>
    <xf numFmtId="203" fontId="21" fillId="0" borderId="0" xfId="0" applyNumberFormat="1" applyFont="1"/>
    <xf numFmtId="2" fontId="0" fillId="0" borderId="0" xfId="0" applyNumberFormat="1"/>
    <xf numFmtId="9" fontId="21" fillId="0" borderId="0" xfId="3" applyFont="1"/>
    <xf numFmtId="41" fontId="10" fillId="5" borderId="0" xfId="1" applyFont="1" applyFill="1" applyBorder="1" applyAlignment="1">
      <alignment horizontal="center"/>
    </xf>
    <xf numFmtId="41" fontId="10" fillId="5" borderId="2" xfId="1" applyFont="1" applyFill="1" applyBorder="1" applyAlignment="1">
      <alignment horizontal="center"/>
    </xf>
    <xf numFmtId="0" fontId="18" fillId="0" borderId="0" xfId="0" applyFont="1" applyAlignment="1">
      <alignment horizontal="right"/>
    </xf>
    <xf numFmtId="0" fontId="23" fillId="0" borderId="0" xfId="0" applyFont="1"/>
    <xf numFmtId="177" fontId="0" fillId="0" borderId="0" xfId="1" applyNumberFormat="1" applyFont="1"/>
    <xf numFmtId="180" fontId="0" fillId="0" borderId="0" xfId="1" applyNumberFormat="1" applyFont="1"/>
    <xf numFmtId="194" fontId="18" fillId="0" borderId="0" xfId="3" applyNumberFormat="1" applyFont="1"/>
    <xf numFmtId="9" fontId="0" fillId="0" borderId="0" xfId="3" applyFont="1"/>
    <xf numFmtId="198" fontId="24" fillId="5" borderId="0" xfId="0" applyNumberFormat="1" applyFont="1" applyFill="1" applyAlignment="1">
      <alignment horizontal="center"/>
    </xf>
    <xf numFmtId="198" fontId="24" fillId="5" borderId="2" xfId="0" applyNumberFormat="1" applyFont="1" applyFill="1" applyBorder="1" applyAlignment="1">
      <alignment horizontal="center"/>
    </xf>
    <xf numFmtId="177" fontId="24" fillId="5" borderId="0" xfId="1" applyNumberFormat="1" applyFont="1" applyFill="1" applyBorder="1" applyAlignment="1">
      <alignment horizontal="center"/>
    </xf>
    <xf numFmtId="177" fontId="24" fillId="5" borderId="2" xfId="1" applyNumberFormat="1" applyFont="1" applyFill="1" applyBorder="1" applyAlignment="1">
      <alignment horizontal="center"/>
    </xf>
    <xf numFmtId="0" fontId="13" fillId="5" borderId="6" xfId="0" applyFont="1" applyFill="1" applyBorder="1" applyAlignment="1">
      <alignment horizontal="right" wrapText="1"/>
    </xf>
    <xf numFmtId="197" fontId="24" fillId="5" borderId="0" xfId="0" applyNumberFormat="1" applyFont="1" applyFill="1" applyAlignment="1">
      <alignment horizontal="center"/>
    </xf>
    <xf numFmtId="197" fontId="24" fillId="5" borderId="2" xfId="0" applyNumberFormat="1" applyFont="1" applyFill="1" applyBorder="1" applyAlignment="1">
      <alignment horizontal="center"/>
    </xf>
    <xf numFmtId="183" fontId="8" fillId="5" borderId="0" xfId="0" applyNumberFormat="1" applyFont="1" applyFill="1" applyAlignment="1">
      <alignment horizontal="center"/>
    </xf>
    <xf numFmtId="183" fontId="14" fillId="5" borderId="0" xfId="1" applyNumberFormat="1" applyFont="1" applyFill="1" applyBorder="1" applyAlignment="1">
      <alignment horizontal="left" vertical="top"/>
    </xf>
    <xf numFmtId="183" fontId="14" fillId="5" borderId="7" xfId="1" applyNumberFormat="1" applyFont="1" applyFill="1" applyBorder="1" applyAlignment="1">
      <alignment horizontal="left" vertical="top"/>
    </xf>
    <xf numFmtId="183" fontId="15" fillId="5" borderId="0" xfId="1" applyNumberFormat="1" applyFont="1" applyFill="1" applyBorder="1" applyAlignment="1">
      <alignment horizontal="left" vertical="top"/>
    </xf>
    <xf numFmtId="183" fontId="14" fillId="5" borderId="0" xfId="1" applyNumberFormat="1" applyFont="1" applyFill="1" applyAlignment="1">
      <alignment horizontal="left"/>
    </xf>
    <xf numFmtId="183" fontId="13" fillId="5" borderId="6" xfId="1" applyNumberFormat="1" applyFont="1" applyFill="1" applyBorder="1" applyAlignment="1">
      <alignment horizontal="left" wrapText="1"/>
    </xf>
    <xf numFmtId="9" fontId="21" fillId="0" borderId="0" xfId="0" applyNumberFormat="1" applyFont="1"/>
    <xf numFmtId="0" fontId="16" fillId="6" borderId="0" xfId="4" applyBorder="1"/>
    <xf numFmtId="0" fontId="7" fillId="0" borderId="0" xfId="0" applyFont="1"/>
    <xf numFmtId="2" fontId="16" fillId="6" borderId="0" xfId="4" applyNumberFormat="1" applyBorder="1"/>
    <xf numFmtId="0" fontId="7" fillId="0" borderId="5" xfId="0" applyFont="1" applyBorder="1" applyAlignment="1">
      <alignment horizontal="left" vertical="top"/>
    </xf>
    <xf numFmtId="183" fontId="0" fillId="0" borderId="5" xfId="1" applyNumberFormat="1" applyFont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183" fontId="0" fillId="0" borderId="0" xfId="1" applyNumberFormat="1" applyFont="1" applyAlignment="1">
      <alignment horizontal="left" vertical="top"/>
    </xf>
    <xf numFmtId="0" fontId="0" fillId="4" borderId="0" xfId="0" applyFill="1" applyAlignment="1">
      <alignment horizontal="left" vertical="top"/>
    </xf>
    <xf numFmtId="183" fontId="7" fillId="0" borderId="3" xfId="0" applyNumberFormat="1" applyFont="1" applyBorder="1" applyAlignment="1">
      <alignment horizontal="left" vertical="top"/>
    </xf>
    <xf numFmtId="183" fontId="7" fillId="0" borderId="4" xfId="0" applyNumberFormat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194" fontId="0" fillId="0" borderId="0" xfId="3" applyNumberFormat="1" applyFont="1" applyAlignment="1">
      <alignment horizontal="left" vertical="top"/>
    </xf>
    <xf numFmtId="184" fontId="0" fillId="0" borderId="0" xfId="1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183" fontId="0" fillId="0" borderId="0" xfId="1" applyNumberFormat="1" applyFont="1" applyBorder="1" applyAlignment="1">
      <alignment horizontal="left" vertical="top"/>
    </xf>
    <xf numFmtId="9" fontId="0" fillId="0" borderId="0" xfId="3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183" fontId="7" fillId="0" borderId="1" xfId="0" applyNumberFormat="1" applyFont="1" applyBorder="1" applyAlignment="1">
      <alignment horizontal="left" vertical="top"/>
    </xf>
    <xf numFmtId="183" fontId="0" fillId="0" borderId="1" xfId="0" applyNumberFormat="1" applyBorder="1" applyAlignment="1">
      <alignment horizontal="left" vertical="top"/>
    </xf>
    <xf numFmtId="194" fontId="7" fillId="0" borderId="3" xfId="3" applyNumberFormat="1" applyFont="1" applyBorder="1" applyAlignment="1">
      <alignment horizontal="left" vertical="top"/>
    </xf>
    <xf numFmtId="1" fontId="16" fillId="6" borderId="0" xfId="4" applyNumberFormat="1" applyBorder="1"/>
    <xf numFmtId="0" fontId="16" fillId="0" borderId="0" xfId="4" applyFill="1" applyBorder="1"/>
    <xf numFmtId="173" fontId="0" fillId="0" borderId="0" xfId="0" applyNumberFormat="1"/>
    <xf numFmtId="1" fontId="0" fillId="0" borderId="0" xfId="0" applyNumberFormat="1"/>
    <xf numFmtId="173" fontId="0" fillId="0" borderId="0" xfId="3" applyNumberFormat="1" applyFont="1"/>
    <xf numFmtId="193" fontId="16" fillId="6" borderId="0" xfId="4" applyNumberFormat="1" applyBorder="1"/>
    <xf numFmtId="0" fontId="7" fillId="0" borderId="2" xfId="0" applyFont="1" applyBorder="1"/>
    <xf numFmtId="0" fontId="25" fillId="0" borderId="0" xfId="5"/>
    <xf numFmtId="3" fontId="0" fillId="0" borderId="2" xfId="1" applyNumberFormat="1" applyFont="1" applyBorder="1"/>
    <xf numFmtId="3" fontId="0" fillId="7" borderId="2" xfId="1" applyNumberFormat="1" applyFont="1" applyFill="1" applyBorder="1"/>
    <xf numFmtId="42" fontId="16" fillId="6" borderId="0" xfId="2" applyFont="1" applyFill="1" applyBorder="1"/>
    <xf numFmtId="42" fontId="0" fillId="0" borderId="0" xfId="2" applyFont="1"/>
    <xf numFmtId="44" fontId="0" fillId="0" borderId="0" xfId="0" applyNumberFormat="1"/>
    <xf numFmtId="10" fontId="0" fillId="0" borderId="0" xfId="3" applyNumberFormat="1" applyFont="1"/>
    <xf numFmtId="10" fontId="16" fillId="6" borderId="8" xfId="4" applyNumberFormat="1"/>
    <xf numFmtId="189" fontId="0" fillId="0" borderId="0" xfId="1" applyNumberFormat="1" applyFont="1" applyBorder="1" applyAlignment="1">
      <alignment horizontal="left" vertical="top"/>
    </xf>
    <xf numFmtId="183" fontId="7" fillId="0" borderId="0" xfId="0" applyNumberFormat="1" applyFont="1" applyAlignment="1">
      <alignment horizontal="left" vertical="top"/>
    </xf>
    <xf numFmtId="183" fontId="0" fillId="0" borderId="0" xfId="0" applyNumberFormat="1" applyAlignment="1">
      <alignment horizontal="left" vertical="top"/>
    </xf>
    <xf numFmtId="6" fontId="0" fillId="0" borderId="0" xfId="0" applyNumberFormat="1" applyAlignment="1">
      <alignment horizontal="left"/>
    </xf>
    <xf numFmtId="194" fontId="7" fillId="0" borderId="0" xfId="3" applyNumberFormat="1" applyFont="1" applyBorder="1" applyAlignment="1">
      <alignment horizontal="left" vertical="top"/>
    </xf>
    <xf numFmtId="0" fontId="7" fillId="0" borderId="3" xfId="0" applyFont="1" applyBorder="1"/>
    <xf numFmtId="0" fontId="0" fillId="0" borderId="0" xfId="0" applyFont="1"/>
    <xf numFmtId="0" fontId="7" fillId="0" borderId="0" xfId="0" applyFont="1" applyBorder="1" applyAlignment="1">
      <alignment horizontal="left" vertical="top"/>
    </xf>
    <xf numFmtId="183" fontId="7" fillId="0" borderId="0" xfId="0" applyNumberFormat="1" applyFont="1" applyBorder="1" applyAlignment="1">
      <alignment horizontal="left" vertical="top"/>
    </xf>
    <xf numFmtId="183" fontId="0" fillId="0" borderId="2" xfId="1" applyNumberFormat="1" applyFont="1" applyBorder="1" applyAlignment="1">
      <alignment horizontal="left" vertical="top"/>
    </xf>
    <xf numFmtId="183" fontId="0" fillId="0" borderId="6" xfId="1" applyNumberFormat="1" applyFont="1" applyBorder="1" applyAlignment="1">
      <alignment horizontal="left" vertical="top"/>
    </xf>
    <xf numFmtId="194" fontId="0" fillId="0" borderId="6" xfId="3" applyNumberFormat="1" applyFont="1" applyBorder="1" applyAlignment="1">
      <alignment horizontal="left" vertical="top"/>
    </xf>
    <xf numFmtId="0" fontId="0" fillId="3" borderId="0" xfId="0" applyFill="1" applyAlignment="1">
      <alignment horizontal="right" vertical="top"/>
    </xf>
    <xf numFmtId="0" fontId="0" fillId="3" borderId="2" xfId="0" applyFill="1" applyBorder="1" applyAlignment="1">
      <alignment horizontal="right" vertical="top"/>
    </xf>
    <xf numFmtId="0" fontId="23" fillId="3" borderId="0" xfId="0" applyFont="1" applyFill="1" applyAlignment="1">
      <alignment horizontal="right" vertical="top"/>
    </xf>
    <xf numFmtId="0" fontId="0" fillId="4" borderId="5" xfId="0" applyFill="1" applyBorder="1" applyAlignment="1">
      <alignment horizontal="right" vertical="top"/>
    </xf>
    <xf numFmtId="0" fontId="0" fillId="4" borderId="0" xfId="0" applyFill="1" applyAlignment="1">
      <alignment horizontal="right" vertical="top"/>
    </xf>
    <xf numFmtId="0" fontId="0" fillId="4" borderId="2" xfId="0" applyFill="1" applyBorder="1" applyAlignment="1">
      <alignment horizontal="right" vertical="top"/>
    </xf>
    <xf numFmtId="0" fontId="23" fillId="4" borderId="6" xfId="0" applyFont="1" applyFill="1" applyBorder="1" applyAlignment="1">
      <alignment horizontal="right" vertical="top"/>
    </xf>
    <xf numFmtId="0" fontId="0" fillId="0" borderId="0" xfId="0" applyAlignment="1">
      <alignment horizontal="right" vertical="top"/>
    </xf>
    <xf numFmtId="0" fontId="7" fillId="4" borderId="3" xfId="0" applyFont="1" applyFill="1" applyBorder="1" applyAlignment="1">
      <alignment horizontal="right" vertical="top"/>
    </xf>
    <xf numFmtId="0" fontId="7" fillId="0" borderId="4" xfId="0" applyFont="1" applyBorder="1" applyAlignment="1">
      <alignment horizontal="right" vertical="top"/>
    </xf>
    <xf numFmtId="0" fontId="7" fillId="0" borderId="10" xfId="0" applyFont="1" applyBorder="1" applyAlignment="1">
      <alignment horizontal="left" vertical="top"/>
    </xf>
    <xf numFmtId="0" fontId="7" fillId="0" borderId="5" xfId="0" applyFont="1" applyBorder="1" applyAlignment="1">
      <alignment wrapText="1"/>
    </xf>
    <xf numFmtId="0" fontId="0" fillId="0" borderId="5" xfId="0" applyFont="1" applyBorder="1"/>
    <xf numFmtId="2" fontId="0" fillId="0" borderId="5" xfId="0" applyNumberFormat="1" applyFont="1" applyBorder="1"/>
    <xf numFmtId="41" fontId="0" fillId="0" borderId="5" xfId="1" applyNumberFormat="1" applyFont="1" applyBorder="1"/>
    <xf numFmtId="203" fontId="21" fillId="0" borderId="5" xfId="0" applyNumberFormat="1" applyFont="1" applyBorder="1"/>
    <xf numFmtId="183" fontId="0" fillId="0" borderId="5" xfId="1" applyNumberFormat="1" applyFont="1" applyBorder="1"/>
    <xf numFmtId="204" fontId="0" fillId="0" borderId="5" xfId="1" applyNumberFormat="1" applyFont="1" applyBorder="1"/>
    <xf numFmtId="2" fontId="0" fillId="0" borderId="0" xfId="0" applyNumberFormat="1" applyFont="1"/>
    <xf numFmtId="41" fontId="0" fillId="0" borderId="0" xfId="1" applyNumberFormat="1" applyFont="1"/>
    <xf numFmtId="183" fontId="0" fillId="0" borderId="0" xfId="1" applyNumberFormat="1" applyFont="1" applyBorder="1"/>
    <xf numFmtId="183" fontId="7" fillId="0" borderId="3" xfId="0" applyNumberFormat="1" applyFont="1" applyBorder="1"/>
    <xf numFmtId="204" fontId="7" fillId="0" borderId="3" xfId="0" applyNumberFormat="1" applyFont="1" applyBorder="1"/>
    <xf numFmtId="3" fontId="0" fillId="0" borderId="0" xfId="1" applyNumberFormat="1" applyFont="1"/>
    <xf numFmtId="194" fontId="0" fillId="0" borderId="0" xfId="3" applyNumberFormat="1" applyFont="1" applyBorder="1" applyAlignment="1">
      <alignment horizontal="left" vertical="top"/>
    </xf>
  </cellXfs>
  <cellStyles count="6">
    <cellStyle name="Comma [0]" xfId="1" builtinId="6"/>
    <cellStyle name="Currency [0]" xfId="2" builtinId="7"/>
    <cellStyle name="Hyperlink" xfId="5" builtinId="8"/>
    <cellStyle name="Input" xfId="4" builtinId="20"/>
    <cellStyle name="Normal" xfId="0" builtinId="0"/>
    <cellStyle name="Percent" xfId="3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81" formatCode="0\ &quot;psi&quot;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81" formatCode="0\ &quot;psi&quot;"/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3F9FCC"/>
      <color rgb="FF18719A"/>
      <color rgb="FF145E7F"/>
      <color rgb="FFFFF700"/>
      <color rgb="FF10220A"/>
      <color rgb="FF101C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3641407753867"/>
          <c:y val="8.2914605671905062E-2"/>
          <c:w val="0.85036298566428081"/>
          <c:h val="0.8341707886561898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Steel!$B$35</c:f>
              <c:strCache>
                <c:ptCount val="1"/>
                <c:pt idx="0">
                  <c:v>Cost of steel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B6B-4E4D-8254-B4640CF3307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B6B-4E4D-8254-B4640CF33072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1514056009161373"/>
                      <c:h val="9.003609177623098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B6B-4E4D-8254-B4640CF33072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02694752386649"/>
                      <c:h val="0.3231408313776881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FB6B-4E4D-8254-B4640CF330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Steel!$C$32:$D$32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Steel!$C$35:$D$35</c:f>
              <c:numCache>
                <c:formatCode>"$"#,##0</c:formatCode>
                <c:ptCount val="2"/>
                <c:pt idx="0">
                  <c:v>20320061.093199484</c:v>
                </c:pt>
                <c:pt idx="1">
                  <c:v>14660443.199577643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5-9E46-AE45-74AE6D778E7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3"/>
        <c:axId val="836053744"/>
        <c:axId val="807016959"/>
      </c:barChart>
      <c:catAx>
        <c:axId val="8360537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20" normalizeH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CL"/>
          </a:p>
        </c:txPr>
        <c:crossAx val="807016959"/>
        <c:crosses val="autoZero"/>
        <c:auto val="1"/>
        <c:lblAlgn val="ctr"/>
        <c:lblOffset val="0"/>
        <c:noMultiLvlLbl val="0"/>
      </c:catAx>
      <c:valAx>
        <c:axId val="807016959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crossAx val="83605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206437852210457E-2"/>
          <c:y val="6.6432702191602444E-3"/>
          <c:w val="0.90512598470598515"/>
          <c:h val="0.9767104647117751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SC!$A$6</c:f>
              <c:strCache>
                <c:ptCount val="1"/>
                <c:pt idx="0">
                  <c:v>Shop coating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76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76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76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3F9F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6A-C04B-B648-E44A5EAA0BBC}"/>
              </c:ext>
            </c:extLst>
          </c:dPt>
          <c:dLbls>
            <c:dLbl>
              <c:idx val="0"/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2800" b="0" i="0" u="none" strike="noStrike" kern="1200" baseline="0">
                        <a:solidFill>
                          <a:schemeClr val="dk2">
                            <a:lumMod val="75000"/>
                          </a:schemeClr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55F9E102-6BC3-304B-BE45-134062C61DFD}" type="CELLRANGE">
                      <a:rPr lang="en-US" sz="2800" baseline="0"/>
                      <a:pPr>
                        <a:defRPr sz="2800"/>
                      </a:pPr>
                      <a:t>[CELLRANGE]</a:t>
                    </a:fld>
                    <a:r>
                      <a:rPr lang="en-US" sz="2800" baseline="0"/>
                      <a:t>, </a:t>
                    </a:r>
                    <a:fld id="{378F4A97-27B9-374A-930C-EC726416D428}" type="SERIESNAME">
                      <a:rPr lang="en-US" sz="2800" baseline="0"/>
                      <a:pPr>
                        <a:defRPr sz="2800"/>
                      </a:pPr>
                      <a:t>[SERIES NAME]</a:t>
                    </a:fld>
                    <a:endParaRPr lang="en-US" sz="2800" baseline="0"/>
                  </a:p>
                </c:rich>
              </c:tx>
              <c:numFmt formatCode="0.00%" sourceLinked="0"/>
              <c:spPr>
                <a:xfrm>
                  <a:off x="0" y="1341480"/>
                  <a:ext cx="2098896" cy="548227"/>
                </a:xfrm>
                <a:solidFill>
                  <a:sysClr val="window" lastClr="FFFFFF">
                    <a:alpha val="67000"/>
                  </a:sysClr>
                </a:solidFill>
                <a:ln w="9525" cap="flat" cmpd="sng" algn="ctr">
                  <a:solidFill>
                    <a:sysClr val="windowText" lastClr="000000">
                      <a:lumMod val="25000"/>
                      <a:lumOff val="75000"/>
                      <a:alpha val="67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2800" b="0" i="0" u="none" strike="noStrike" kern="1200" baseline="0">
                      <a:solidFill>
                        <a:schemeClr val="dk2">
                          <a:lumMod val="7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7934"/>
                        <a:gd name="adj2" fmla="val -42021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507810116207691"/>
                      <c:h val="0.53276541987197013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06A-C04B-B648-E44A5EAA0BBC}"/>
                </c:ext>
              </c:extLst>
            </c:dLbl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SC!$B$6</c:f>
              <c:numCache>
                <c:formatCode>"$"#,##0</c:formatCode>
                <c:ptCount val="1"/>
                <c:pt idx="0">
                  <c:v>761047.67873947392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SC!$B$9</c15:f>
                <c15:dlblRangeCache>
                  <c:ptCount val="1"/>
                  <c:pt idx="0">
                    <c:v>4.9%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06A-C04B-B648-E44A5EAA0BBC}"/>
            </c:ext>
          </c:extLst>
        </c:ser>
        <c:ser>
          <c:idx val="1"/>
          <c:order val="1"/>
          <c:tx>
            <c:strRef>
              <c:f>SC!$A$7</c:f>
              <c:strCache>
                <c:ptCount val="1"/>
                <c:pt idx="0">
                  <c:v>Steel cost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77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77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7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4F-DC47-9034-EC54DDB0D488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2800" b="0" i="0" u="none" strike="noStrike" kern="1200" baseline="0">
                        <a:solidFill>
                          <a:schemeClr val="tx2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368878A4-A410-344B-A1A7-B79C00ECF01C}" type="CELLRANGE">
                      <a:rPr lang="en-US" sz="2800" baseline="0"/>
                      <a:pPr>
                        <a:defRPr sz="2800"/>
                      </a:pPr>
                      <a:t>[CELLRANGE]</a:t>
                    </a:fld>
                    <a:r>
                      <a:rPr lang="en-US" sz="2800" baseline="0"/>
                      <a:t>, </a:t>
                    </a:r>
                    <a:fld id="{C82CC664-66E5-FF4C-999D-5D81CCEDD9DE}" type="SERIESNAME">
                      <a:rPr lang="en-US" sz="2800" baseline="0"/>
                      <a:pPr>
                        <a:defRPr sz="2800"/>
                      </a:pPr>
                      <a:t>[SERIES NAME]</a:t>
                    </a:fld>
                    <a:endParaRPr lang="en-US" sz="2800" baseline="0"/>
                  </a:p>
                </c:rich>
              </c:tx>
              <c:numFmt formatCode="0.0%" sourceLinked="0"/>
              <c:spPr>
                <a:solidFill>
                  <a:sysClr val="window" lastClr="FFFFFF">
                    <a:alpha val="67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800" b="0" i="0" u="none" strike="noStrike" kern="1200" baseline="0">
                      <a:solidFill>
                        <a:schemeClr val="tx2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89226507509981"/>
                      <c:h val="0.60480868333803517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14F-DC47-9034-EC54DDB0D488}"/>
                </c:ext>
              </c:extLst>
            </c:dLbl>
            <c:spPr>
              <a:solidFill>
                <a:sysClr val="window" lastClr="FFFFFF">
                  <a:alpha val="67000"/>
                </a:sys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CL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val>
            <c:numRef>
              <c:f>SC!$B$7</c:f>
              <c:numCache>
                <c:formatCode>"$"#,##0</c:formatCode>
                <c:ptCount val="1"/>
                <c:pt idx="0">
                  <c:v>14660443.199577643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SC!$B$10</c15:f>
                <c15:dlblRangeCache>
                  <c:ptCount val="1"/>
                  <c:pt idx="0">
                    <c:v>95.1%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97BE-EF4E-8703-DC138473C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527415615"/>
        <c:axId val="469377968"/>
      </c:barChart>
      <c:valAx>
        <c:axId val="469377968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527415615"/>
        <c:crosses val="autoZero"/>
        <c:crossBetween val="between"/>
      </c:valAx>
      <c:catAx>
        <c:axId val="5274156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69377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0.945842598226827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Charts!$W$13</c:f>
              <c:strCache>
                <c:ptCount val="1"/>
                <c:pt idx="0">
                  <c:v>Item</c:v>
                </c:pt>
              </c:strCache>
            </c:strRef>
          </c:tx>
          <c:spPr>
            <a:solidFill>
              <a:schemeClr val="accent4">
                <a:shade val="4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Helvetica Neue Medium" panose="02000503000000020004" pitchFamily="2" charset="0"/>
                        <a:cs typeface="Times New Roman" panose="02020603050405020304" pitchFamily="18" charset="0"/>
                      </a:defRPr>
                    </a:pPr>
                    <a:r>
                      <a:rPr lang="en-US" sz="1000">
                        <a:solidFill>
                          <a:schemeClr val="tx1"/>
                        </a:solidFill>
                      </a:rPr>
                      <a:t>Bare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Helvetica Neue Medium" panose="02000503000000020004" pitchFamily="2" charset="0"/>
                      <a:cs typeface="Times New Roman" panose="02020603050405020304" pitchFamily="18" charset="0"/>
                    </a:defRPr>
                  </a:pPr>
                  <a:endParaRPr lang="en-CL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629065480116812"/>
                      <c:h val="3.7989570241636003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12-1138-DA43-8824-98E0DC7CD9A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Helvetica Neue Medium" panose="02000503000000020004" pitchFamily="2" charset="0"/>
                      <a:cs typeface="Times New Roman" panose="02020603050405020304" pitchFamily="18" charset="0"/>
                    </a:defRPr>
                  </a:pPr>
                  <a:endParaRPr lang="en-CL"/>
                </a:p>
              </c:txPr>
              <c:dLblPos val="in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BDD-5045-BBC5-16AB47077F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Charts!$X$13:$Y$13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Charts!$X$13:$Y$13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8-DA43-8824-98E0DC7CD9A1}"/>
            </c:ext>
          </c:extLst>
        </c:ser>
        <c:ser>
          <c:idx val="1"/>
          <c:order val="1"/>
          <c:tx>
            <c:strRef>
              <c:f>Charts!$W$14</c:f>
              <c:strCache>
                <c:ptCount val="1"/>
                <c:pt idx="0">
                  <c:v>Extra Inhibitors</c:v>
                </c:pt>
              </c:strCache>
            </c:strRef>
          </c:tx>
          <c:spPr>
            <a:solidFill>
              <a:schemeClr val="accent4">
                <a:shade val="61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295382445942211"/>
                      <c:h val="0.2015147976804117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1138-DA43-8824-98E0DC7CD9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Charts!$X$13:$Y$13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Charts!$X$14:$Y$14</c:f>
              <c:numCache>
                <c:formatCode>"$"#,##0.00\ "MM"</c:formatCode>
                <c:ptCount val="2"/>
                <c:pt idx="0">
                  <c:v>10.223564573747916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8-DA43-8824-98E0DC7CD9A1}"/>
            </c:ext>
          </c:extLst>
        </c:ser>
        <c:ser>
          <c:idx val="2"/>
          <c:order val="2"/>
          <c:tx>
            <c:strRef>
              <c:f>Charts!$W$15</c:f>
              <c:strCache>
                <c:ptCount val="1"/>
                <c:pt idx="0">
                  <c:v>Extra Friction Energy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02609400945809"/>
                      <c:h val="0.288168482282040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3-1138-DA43-8824-98E0DC7CD9A1}"/>
                </c:ext>
              </c:extLst>
            </c:dLbl>
            <c:dLbl>
              <c:idx val="1"/>
              <c:layout>
                <c:manualLayout>
                  <c:x val="0.16486700581614244"/>
                  <c:y val="0.14343590589332531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973401163228488"/>
                      <c:h val="0.2868718117866506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1C7B-C344-9C7A-88C489C22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Charts!$X$13:$Y$13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Charts!$X$15:$Y$15</c:f>
              <c:numCache>
                <c:formatCode>"$"#,##0.00\ "MM"</c:formatCode>
                <c:ptCount val="2"/>
                <c:pt idx="0">
                  <c:v>9.1055139011863364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8-DA43-8824-98E0DC7CD9A1}"/>
            </c:ext>
          </c:extLst>
        </c:ser>
        <c:ser>
          <c:idx val="3"/>
          <c:order val="3"/>
          <c:tx>
            <c:strRef>
              <c:f>Charts!$W$16</c:f>
              <c:strCache>
                <c:ptCount val="1"/>
                <c:pt idx="0">
                  <c:v>Extra Steel</c:v>
                </c:pt>
              </c:strCache>
            </c:strRef>
          </c:tx>
          <c:spPr>
            <a:solidFill>
              <a:schemeClr val="accent4">
                <a:shade val="92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482000705930721"/>
                      <c:h val="0.1695928107206691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C7B-C344-9C7A-88C489C22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Charts!$X$13:$Y$13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Charts!$X$16:$Y$16</c:f>
              <c:numCache>
                <c:formatCode>"$"#,##0.00\ "MM"</c:formatCode>
                <c:ptCount val="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38-DA43-8824-98E0DC7CD9A1}"/>
            </c:ext>
          </c:extLst>
        </c:ser>
        <c:ser>
          <c:idx val="4"/>
          <c:order val="4"/>
          <c:tx>
            <c:strRef>
              <c:f>Charts!$W$17</c:f>
              <c:strCache>
                <c:ptCount val="1"/>
                <c:pt idx="0">
                  <c:v>Joint Field Coating</c:v>
                </c:pt>
              </c:strCache>
            </c:strRef>
          </c:tx>
          <c:spPr>
            <a:solidFill>
              <a:schemeClr val="accent4">
                <a:tint val="93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3.6789636209573311E-3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4118041401020377"/>
                      <c:h val="0.131669500634088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C7B-C344-9C7A-88C489C22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Charts!$X$13:$Y$13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Charts!$X$17:$Y$17</c:f>
              <c:numCache>
                <c:formatCode>"$"#,##0.00\ "MM"</c:formatCode>
                <c:ptCount val="2"/>
                <c:pt idx="1">
                  <c:v>5.8339999999999996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38-DA43-8824-98E0DC7CD9A1}"/>
            </c:ext>
          </c:extLst>
        </c:ser>
        <c:ser>
          <c:idx val="5"/>
          <c:order val="5"/>
          <c:tx>
            <c:strRef>
              <c:f>Charts!$W$18</c:f>
              <c:strCache>
                <c:ptCount val="1"/>
                <c:pt idx="0">
                  <c:v>Extra Inspections</c:v>
                </c:pt>
              </c:strCache>
            </c:strRef>
          </c:tx>
          <c:spPr>
            <a:solidFill>
              <a:schemeClr val="accent4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layout>
                    <c:manualLayout>
                      <c:w val="0.42325287533168615"/>
                      <c:h val="7.092485102691913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1C7B-C344-9C7A-88C489C2270E}"/>
                </c:ext>
              </c:extLst>
            </c:dLbl>
            <c:spPr>
              <a:noFill/>
              <a:ln w="3175"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Charts!$X$13:$Y$13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Charts!$X$18:$Y$18</c:f>
              <c:numCache>
                <c:formatCode>"$"#,##0.00\ "MM"</c:formatCode>
                <c:ptCount val="2"/>
                <c:pt idx="0">
                  <c:v>2.5415712051042201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38-DA43-8824-98E0DC7CD9A1}"/>
            </c:ext>
          </c:extLst>
        </c:ser>
        <c:ser>
          <c:idx val="6"/>
          <c:order val="6"/>
          <c:tx>
            <c:strRef>
              <c:f>Charts!$W$19</c:f>
              <c:strCache>
                <c:ptCount val="1"/>
                <c:pt idx="0">
                  <c:v>Shop Coating</c:v>
                </c:pt>
              </c:strCache>
            </c:strRef>
          </c:tx>
          <c:spPr>
            <a:solidFill>
              <a:schemeClr val="accent4">
                <a:tint val="62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118024915873618"/>
                      <c:h val="7.693156939302045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1C7B-C344-9C7A-88C489C2270E}"/>
                </c:ext>
              </c:extLst>
            </c:dLbl>
            <c:spPr>
              <a:noFill/>
              <a:ln w="3175"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Base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Charts!$X$13:$Y$13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Charts!$X$19:$Y$19</c:f>
              <c:numCache>
                <c:formatCode>"$"#,##0.00\ "MM"</c:formatCode>
                <c:ptCount val="2"/>
                <c:pt idx="1">
                  <c:v>0.76104767873947388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38-DA43-8824-98E0DC7CD9A1}"/>
            </c:ext>
          </c:extLst>
        </c:ser>
        <c:ser>
          <c:idx val="7"/>
          <c:order val="7"/>
          <c:tx>
            <c:strRef>
              <c:f>Charts!$W$20</c:f>
              <c:strCache>
                <c:ptCount val="1"/>
                <c:pt idx="0">
                  <c:v>Dosing Plant</c:v>
                </c:pt>
              </c:strCache>
            </c:strRef>
          </c:tx>
          <c:spPr>
            <a:solidFill>
              <a:schemeClr val="accent4">
                <a:tint val="4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Helvetica Neue Medium" panose="02000503000000020004" pitchFamily="2" charset="0"/>
                      <a:cs typeface="Times New Roman" panose="02020603050405020304" pitchFamily="18" charset="0"/>
                    </a:defRPr>
                  </a:pPr>
                  <a:endParaRPr lang="en-CL"/>
                </a:p>
              </c:txPr>
              <c:dLblPos val="inBase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46038956454051672"/>
                      <c:h val="6.863113325962677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1C7B-C344-9C7A-88C489C227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Helvetica Neue Medium" panose="02000503000000020004" pitchFamily="2" charset="0"/>
                    <a:cs typeface="Times New Roman" panose="02020603050405020304" pitchFamily="18" charset="0"/>
                  </a:defRPr>
                </a:pPr>
                <a:endParaRPr lang="en-CL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Charts!$X$13:$Y$13</c:f>
              <c:strCache>
                <c:ptCount val="2"/>
                <c:pt idx="0">
                  <c:v>Bare</c:v>
                </c:pt>
                <c:pt idx="1">
                  <c:v>Coated</c:v>
                </c:pt>
              </c:strCache>
            </c:strRef>
          </c:cat>
          <c:val>
            <c:numRef>
              <c:f>Charts!$X$20:$Y$20</c:f>
              <c:numCache>
                <c:formatCode>"$"#,##0.00\ "MM"</c:formatCode>
                <c:ptCount val="2"/>
                <c:pt idx="0">
                  <c:v>0.27216000000000001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D-5045-BBC5-16AB47077F4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"/>
        <c:overlap val="100"/>
        <c:axId val="792460480"/>
        <c:axId val="792462192"/>
      </c:barChart>
      <c:catAx>
        <c:axId val="792460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2462192"/>
        <c:crosses val="autoZero"/>
        <c:auto val="0"/>
        <c:lblAlgn val="ctr"/>
        <c:lblOffset val="100"/>
        <c:noMultiLvlLbl val="0"/>
      </c:catAx>
      <c:valAx>
        <c:axId val="79246219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crossAx val="79246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 b="0" i="0">
          <a:solidFill>
            <a:schemeClr val="bg1"/>
          </a:solidFill>
          <a:latin typeface="Times New Roman" panose="02020603050405020304" pitchFamily="18" charset="0"/>
          <a:ea typeface="Helvetica Neue Medium" panose="02000503000000020004" pitchFamily="2" charset="0"/>
          <a:cs typeface="Times New Roman" panose="02020603050405020304" pitchFamily="18" charset="0"/>
        </a:defRPr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67734</xdr:colOff>
      <xdr:row>2</xdr:row>
      <xdr:rowOff>76200</xdr:rowOff>
    </xdr:from>
    <xdr:to>
      <xdr:col>10</xdr:col>
      <xdr:colOff>706284</xdr:colOff>
      <xdr:row>7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13852-5239-8D61-7CB3-25CDAF380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5067" y="482600"/>
          <a:ext cx="3957484" cy="1016000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  <xdr:twoCellAnchor>
    <xdr:from>
      <xdr:col>5</xdr:col>
      <xdr:colOff>609600</xdr:colOff>
      <xdr:row>30</xdr:row>
      <xdr:rowOff>93134</xdr:rowOff>
    </xdr:from>
    <xdr:to>
      <xdr:col>12</xdr:col>
      <xdr:colOff>457200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DA081-1246-BF31-1B4E-FC2B111F1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25400</xdr:colOff>
      <xdr:row>8</xdr:row>
      <xdr:rowOff>53169</xdr:rowOff>
    </xdr:from>
    <xdr:to>
      <xdr:col>13</xdr:col>
      <xdr:colOff>509222</xdr:colOff>
      <xdr:row>14</xdr:row>
      <xdr:rowOff>8467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DBA5252-57E0-030D-589E-48AFF9A2F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82733" y="1678769"/>
          <a:ext cx="6291956" cy="11744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2497666</xdr:colOff>
      <xdr:row>17</xdr:row>
      <xdr:rowOff>67733</xdr:rowOff>
    </xdr:from>
    <xdr:to>
      <xdr:col>14</xdr:col>
      <xdr:colOff>448732</xdr:colOff>
      <xdr:row>30</xdr:row>
      <xdr:rowOff>42332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ADF4C5-B38A-D267-8190-16168E767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232833</xdr:colOff>
      <xdr:row>2</xdr:row>
      <xdr:rowOff>14111</xdr:rowOff>
    </xdr:from>
    <xdr:to>
      <xdr:col>7</xdr:col>
      <xdr:colOff>299155</xdr:colOff>
      <xdr:row>6</xdr:row>
      <xdr:rowOff>141111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08F4A9-69D0-2D6E-E4FD-0D03A8E747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2366" y="412044"/>
          <a:ext cx="3419122" cy="9059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626533</xdr:colOff>
      <xdr:row>0</xdr:row>
      <xdr:rowOff>143933</xdr:rowOff>
    </xdr:from>
    <xdr:to>
      <xdr:col>20</xdr:col>
      <xdr:colOff>277603</xdr:colOff>
      <xdr:row>22</xdr:row>
      <xdr:rowOff>160866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F9ADC8-D688-EBD3-AC6F-3DD3B62AD1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4333" y="143933"/>
          <a:ext cx="12097070" cy="44873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7920</xdr:colOff>
      <xdr:row>16</xdr:row>
      <xdr:rowOff>82177</xdr:rowOff>
    </xdr:from>
    <xdr:to>
      <xdr:col>4</xdr:col>
      <xdr:colOff>471543</xdr:colOff>
      <xdr:row>35</xdr:row>
      <xdr:rowOff>132878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BA931B-AED7-C10C-5AF0-5A63E7D8A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7155" y="3541059"/>
          <a:ext cx="4161564" cy="3883113"/>
        </a:xfrm>
        <a:prstGeom prst="rect">
          <a:avLst/>
        </a:prstGeom>
      </xdr:spPr>
    </xdr:pic>
    <xdr:clientData/>
  </xdr:twoCellAnchor>
  <xdr:twoCellAnchor editAs="oneCell">
    <xdr:from>
      <xdr:col>0</xdr:col>
      <xdr:colOff>732566</xdr:colOff>
      <xdr:row>36</xdr:row>
      <xdr:rowOff>142472</xdr:rowOff>
    </xdr:from>
    <xdr:to>
      <xdr:col>4</xdr:col>
      <xdr:colOff>186765</xdr:colOff>
      <xdr:row>45</xdr:row>
      <xdr:rowOff>179260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82A6F6-89B7-989B-7331-03F09CAAF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566" y="7635472"/>
          <a:ext cx="3981375" cy="185214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1</xdr:rowOff>
    </xdr:from>
    <xdr:to>
      <xdr:col>4</xdr:col>
      <xdr:colOff>52295</xdr:colOff>
      <xdr:row>51</xdr:row>
      <xdr:rowOff>46654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F754CE-9747-BCE5-9BD0-87AE487C3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9235" y="9510060"/>
          <a:ext cx="3750236" cy="1055182"/>
        </a:xfrm>
        <a:prstGeom prst="rect">
          <a:avLst/>
        </a:prstGeom>
      </xdr:spPr>
    </xdr:pic>
    <xdr:clientData/>
  </xdr:twoCellAnchor>
  <xdr:twoCellAnchor editAs="oneCell">
    <xdr:from>
      <xdr:col>1</xdr:col>
      <xdr:colOff>14942</xdr:colOff>
      <xdr:row>51</xdr:row>
      <xdr:rowOff>66086</xdr:rowOff>
    </xdr:from>
    <xdr:to>
      <xdr:col>4</xdr:col>
      <xdr:colOff>291354</xdr:colOff>
      <xdr:row>70</xdr:row>
      <xdr:rowOff>55167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DF79D7F-CDD6-0839-0083-D52160B452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4177" y="10584674"/>
          <a:ext cx="3974353" cy="382149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28222</xdr:colOff>
      <xdr:row>1</xdr:row>
      <xdr:rowOff>21166</xdr:rowOff>
    </xdr:from>
    <xdr:to>
      <xdr:col>11</xdr:col>
      <xdr:colOff>92080</xdr:colOff>
      <xdr:row>9</xdr:row>
      <xdr:rowOff>105292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4DC09A-1B16-34CD-8AB1-4BA46F0C1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75389" y="183444"/>
          <a:ext cx="3274136" cy="1375834"/>
        </a:xfrm>
        <a:prstGeom prst="rect">
          <a:avLst/>
        </a:prstGeom>
      </xdr:spPr>
    </xdr:pic>
    <xdr:clientData/>
  </xdr:twoCellAnchor>
  <xdr:twoCellAnchor editAs="oneCell">
    <xdr:from>
      <xdr:col>11</xdr:col>
      <xdr:colOff>204611</xdr:colOff>
      <xdr:row>1</xdr:row>
      <xdr:rowOff>12846</xdr:rowOff>
    </xdr:from>
    <xdr:to>
      <xdr:col>16</xdr:col>
      <xdr:colOff>222057</xdr:colOff>
      <xdr:row>11</xdr:row>
      <xdr:rowOff>128215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B20CBB-822C-70A6-A819-410E0DAD8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62055" y="175124"/>
          <a:ext cx="3153834" cy="1731634"/>
        </a:xfrm>
        <a:prstGeom prst="rect">
          <a:avLst/>
        </a:prstGeom>
      </xdr:spPr>
    </xdr:pic>
    <xdr:clientData/>
  </xdr:twoCellAnchor>
  <xdr:twoCellAnchor editAs="oneCell">
    <xdr:from>
      <xdr:col>15</xdr:col>
      <xdr:colOff>599723</xdr:colOff>
      <xdr:row>1</xdr:row>
      <xdr:rowOff>14111</xdr:rowOff>
    </xdr:from>
    <xdr:to>
      <xdr:col>21</xdr:col>
      <xdr:colOff>225780</xdr:colOff>
      <xdr:row>10</xdr:row>
      <xdr:rowOff>22343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7B53C9A-1DDF-7BE0-F8C6-2ABAF93E3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93501" y="176389"/>
          <a:ext cx="3309056" cy="145345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677383</xdr:colOff>
      <xdr:row>19</xdr:row>
      <xdr:rowOff>77981</xdr:rowOff>
    </xdr:from>
    <xdr:to>
      <xdr:col>10</xdr:col>
      <xdr:colOff>778932</xdr:colOff>
      <xdr:row>44</xdr:row>
      <xdr:rowOff>202772</xdr:rowOff>
    </xdr:to>
    <xdr:graphicFrame macro="">
      <xdr:nvGraphicFramePr>
        <xdr:cNvPr id="8" name="difference">
          <a:extLst>
            <a:ext uri="{FF2B5EF4-FFF2-40B4-BE49-F238E27FC236}">
              <a16:creationId xmlns:a16="http://schemas.microsoft.com/office/drawing/2014/main" id="{93F35EA6-CA73-E531-508A-6767495BF2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gna/Dropbox/Victaulic/MS%20Office/XLS/Pipeline%20&#183;%20FBE%20&#183;%20X07%20&#183;%20Barlow.xlsx" TargetMode="External"/><Relationship Id="rId1" Type="http://schemas.openxmlformats.org/officeDocument/2006/relationships/externalLinkPath" Target="/Users/igna/Dropbox/Victaulic/MS%20Office/XLS/Pipeline%20&#183;%20FBE%20&#183;%20X07%20&#183;%20Barlo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OP"/>
      <sheetName val="Barlow"/>
      <sheetName val="Price"/>
      <sheetName val="Amit Projects"/>
      <sheetName val="FBE or not to FBE"/>
      <sheetName val="Example"/>
      <sheetName val="TEA rejection"/>
      <sheetName val="Pipeline"/>
    </sheetNames>
    <sheetDataSet>
      <sheetData sheetId="0">
        <row r="3">
          <cell r="C3">
            <v>0.125</v>
          </cell>
        </row>
        <row r="4">
          <cell r="C4">
            <v>0.72</v>
          </cell>
        </row>
        <row r="5">
          <cell r="C5">
            <v>482.75862068965517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BBC9FAD-8A29-924B-BACA-ABE1DA10BC53}" name="Table1" displayName="Table1" ref="B3:D9" totalsRowShown="0" headerRowDxfId="14" dataDxfId="13">
  <autoFilter ref="B3:D9" xr:uid="{EEF4B6F8-B035-0948-9C2F-F8F9B1F6D853}"/>
  <tableColumns count="3">
    <tableColumn id="1" xr3:uid="{4223AF50-317A-4E4F-AD48-9EC4131277A1}" name="Instalación" dataDxfId="12"/>
    <tableColumn id="2" xr3:uid="{5B60AC37-8F81-B246-A80F-AEE2EAC22263}" name="psi" dataDxfId="11">
      <calculatedColumnFormula>G4*0.145038</calculatedColumnFormula>
    </tableColumn>
    <tableColumn id="3" xr3:uid="{82AF04C3-C3CE-F14B-BAF9-7AF3841EFD5F}" name="Ubicación Longitudinal (km)" dataDxfId="1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D05297-0071-064E-BB47-FFC75091AF70}" name="Table2" displayName="Table2" ref="B11:D16" totalsRowShown="0" headerRowDxfId="9" dataDxfId="8">
  <autoFilter ref="B11:D16" xr:uid="{A82A7B7B-2DD2-A048-AB41-7EB5442B34A2}"/>
  <tableColumns count="3">
    <tableColumn id="1" xr3:uid="{DDA3747E-FAF2-7440-9C1C-51712E42AA65}" name="Instalación" dataDxfId="7"/>
    <tableColumn id="2" xr3:uid="{F736D024-0696-FC41-9FD0-E42A5716B0F6}" name="max pressure" dataDxfId="6">
      <calculatedColumnFormula>H12*0.145038</calculatedColumnFormula>
    </tableColumn>
    <tableColumn id="3" xr3:uid="{41A8A8E5-FAA1-CC48-A0C4-C0BC1F11B74C}" name="Ubicación Longitudinal (km)" dataDxfId="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3C3669-7D83-A943-92ED-BB9613B213E9}" name="Table4" displayName="Table4" ref="B18:D27" totalsRowShown="0" headerRowDxfId="4" dataDxfId="3">
  <autoFilter ref="B18:D27" xr:uid="{9CFB23CB-7A14-9948-BCFA-ED54685E430C}"/>
  <tableColumns count="3">
    <tableColumn id="1" xr3:uid="{036ECB84-A68C-A041-AE66-AD7548880326}" name="Parámetro" dataDxfId="2"/>
    <tableColumn id="2" xr3:uid="{900F0122-750E-2840-924D-7A214F2C9055}" name="Unidad" dataDxfId="1"/>
    <tableColumn id="3" xr3:uid="{B79EACA7-12BF-274A-9E7C-D69163D885A6}" name="Valor" dataDxfId="0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dtic.mil/sti/tr/pdf/ADA194321.pdf" TargetMode="External"/><Relationship Id="rId2" Type="http://schemas.openxmlformats.org/officeDocument/2006/relationships/hyperlink" Target="https://www.pipeflow.com/pipe-pressure-drop-calculations/pipe-roughness" TargetMode="External"/><Relationship Id="rId1" Type="http://schemas.openxmlformats.org/officeDocument/2006/relationships/hyperlink" Target="https://www.imia.com/wp-content/uploads/2023/08/IMIA-WGP-126-22-Coating-Failures.pdf" TargetMode="External"/><Relationship Id="rId6" Type="http://schemas.openxmlformats.org/officeDocument/2006/relationships/hyperlink" Target="https://gmk.center/en/posts/hot-rolled-coil-prices-have-increased-in-most-markets-since-the-beginning-of-the-year/" TargetMode="External"/><Relationship Id="rId5" Type="http://schemas.openxmlformats.org/officeDocument/2006/relationships/hyperlink" Target="https://nepis.epa.gov/Exe/ZyPURL.cgi?Dockey=10003FIW.TXT" TargetMode="External"/><Relationship Id="rId4" Type="http://schemas.openxmlformats.org/officeDocument/2006/relationships/hyperlink" Target="https://www.steelmains.com/files/TWT%2015140%20Comparison%20of%20Sintakote%20vs%20Epoxy%20coatings%20on%20steel%20water%20pipe.pdf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04B6-E255-0D47-B4C0-0EFB54D89CFA}">
  <dimension ref="A2:J33"/>
  <sheetViews>
    <sheetView zoomScale="180" zoomScaleNormal="180" workbookViewId="0">
      <pane ySplit="2" topLeftCell="A3" activePane="bottomLeft" state="frozen"/>
      <selection activeCell="B1" sqref="B1"/>
      <selection pane="bottomLeft" activeCell="C18" sqref="C18"/>
    </sheetView>
    <sheetView topLeftCell="B1" workbookViewId="1"/>
  </sheetViews>
  <sheetFormatPr baseColWidth="10" defaultRowHeight="16"/>
  <cols>
    <col min="1" max="1" width="28" customWidth="1"/>
    <col min="2" max="2" width="26.33203125" bestFit="1" customWidth="1"/>
    <col min="3" max="3" width="8.1640625" bestFit="1" customWidth="1"/>
    <col min="5" max="5" width="11" customWidth="1"/>
    <col min="9" max="9" width="10.83203125" customWidth="1"/>
  </cols>
  <sheetData>
    <row r="2" spans="1:10">
      <c r="A2" s="71" t="s">
        <v>130</v>
      </c>
      <c r="B2" s="132" t="s">
        <v>129</v>
      </c>
      <c r="C2" s="157" t="s">
        <v>24</v>
      </c>
      <c r="D2" s="157" t="s">
        <v>23</v>
      </c>
      <c r="E2" s="157" t="s">
        <v>141</v>
      </c>
      <c r="F2" s="157" t="s">
        <v>145</v>
      </c>
      <c r="G2" s="132" t="s">
        <v>250</v>
      </c>
      <c r="H2" s="132" t="s">
        <v>251</v>
      </c>
      <c r="I2" s="132" t="s">
        <v>238</v>
      </c>
      <c r="J2" s="132" t="s">
        <v>239</v>
      </c>
    </row>
    <row r="3" spans="1:10">
      <c r="A3" t="str">
        <f t="shared" ref="A3:A33" si="0">_xlfn.REGEXREPLACE(_xlfn.REGEXREPLACE(_xlfn.REGEXREPLACE(_xlfn.REGEXREPLACE(_xlfn.REGEXREPLACE(_xlfn.REGEXREPLACE(LOWER(B3&amp;IF(E3,"","_"&amp;D3)),"(³)","3"),"[ /]","_"),"\$","usd"),"year","yr"),"%","percent"),"²","2")</f>
        <v>pipeline_length</v>
      </c>
      <c r="B3" t="s">
        <v>144</v>
      </c>
      <c r="C3" s="131">
        <v>70000</v>
      </c>
      <c r="D3" t="s">
        <v>2</v>
      </c>
      <c r="E3" t="b">
        <v>1</v>
      </c>
      <c r="F3" t="b">
        <v>1</v>
      </c>
    </row>
    <row r="4" spans="1:10">
      <c r="A4" t="str">
        <f t="shared" si="0"/>
        <v>pipeline_length_km</v>
      </c>
      <c r="B4" t="s">
        <v>144</v>
      </c>
      <c r="C4" s="152">
        <f>pipeline_length/1000</f>
        <v>70</v>
      </c>
      <c r="D4" t="s">
        <v>0</v>
      </c>
      <c r="E4" t="b">
        <v>0</v>
      </c>
      <c r="F4" t="b">
        <v>0</v>
      </c>
    </row>
    <row r="5" spans="1:10">
      <c r="A5" t="str">
        <f t="shared" si="0"/>
        <v>elevation_change</v>
      </c>
      <c r="B5" t="s">
        <v>148</v>
      </c>
      <c r="C5" s="131">
        <v>1000</v>
      </c>
      <c r="D5" t="s">
        <v>2</v>
      </c>
      <c r="E5" t="b">
        <v>1</v>
      </c>
      <c r="F5" t="b">
        <v>1</v>
      </c>
    </row>
    <row r="6" spans="1:10">
      <c r="A6" t="str">
        <f t="shared" si="0"/>
        <v>segment_length</v>
      </c>
      <c r="B6" t="s">
        <v>133</v>
      </c>
      <c r="C6" s="131">
        <v>12</v>
      </c>
      <c r="D6" t="s">
        <v>2</v>
      </c>
      <c r="E6" t="b">
        <v>1</v>
      </c>
      <c r="F6" t="b">
        <v>1</v>
      </c>
    </row>
    <row r="7" spans="1:10">
      <c r="A7" t="str">
        <f t="shared" si="0"/>
        <v>outside_diameter_inches</v>
      </c>
      <c r="B7" t="s">
        <v>132</v>
      </c>
      <c r="C7" s="131">
        <v>28</v>
      </c>
      <c r="D7" t="s">
        <v>8</v>
      </c>
      <c r="E7" t="b">
        <v>0</v>
      </c>
      <c r="F7" t="b">
        <v>1</v>
      </c>
    </row>
    <row r="8" spans="1:10">
      <c r="A8" t="str">
        <f t="shared" si="0"/>
        <v>outside_diameter</v>
      </c>
      <c r="B8" t="s">
        <v>132</v>
      </c>
      <c r="C8">
        <f>CONVERT(outside_diameter_inches,"in","m")</f>
        <v>0.71120000000000005</v>
      </c>
      <c r="D8" t="s">
        <v>2</v>
      </c>
      <c r="E8" t="b">
        <v>1</v>
      </c>
      <c r="F8" t="b">
        <v>0</v>
      </c>
    </row>
    <row r="9" spans="1:10">
      <c r="A9" t="str">
        <f t="shared" si="0"/>
        <v>wall_corrosion_rate_mm_yr</v>
      </c>
      <c r="B9" t="s">
        <v>152</v>
      </c>
      <c r="C9" s="131">
        <v>0.15</v>
      </c>
      <c r="D9" t="s">
        <v>15</v>
      </c>
      <c r="E9" t="b">
        <v>0</v>
      </c>
      <c r="F9" t="b">
        <v>1</v>
      </c>
      <c r="G9" s="158" t="s">
        <v>246</v>
      </c>
      <c r="H9" s="158"/>
      <c r="J9" t="s">
        <v>248</v>
      </c>
    </row>
    <row r="10" spans="1:10">
      <c r="A10" t="str">
        <f t="shared" si="0"/>
        <v>fbe_wall__yr_1_mm</v>
      </c>
      <c r="B10" t="s">
        <v>139</v>
      </c>
      <c r="C10" s="131">
        <v>9.5299999999999994</v>
      </c>
      <c r="D10" t="s">
        <v>10</v>
      </c>
      <c r="E10" t="b">
        <v>0</v>
      </c>
      <c r="F10" t="b">
        <v>1</v>
      </c>
    </row>
    <row r="11" spans="1:10">
      <c r="A11" t="str">
        <f t="shared" si="0"/>
        <v>bare_wall__yr_1_mm</v>
      </c>
      <c r="B11" t="s">
        <v>140</v>
      </c>
      <c r="C11">
        <f>fbe_wall__yr_1_mm+wall_corrosion_rate_mm_yr*25</f>
        <v>13.28</v>
      </c>
      <c r="D11" t="s">
        <v>10</v>
      </c>
      <c r="E11" t="b">
        <v>0</v>
      </c>
      <c r="F11" t="b">
        <v>0</v>
      </c>
    </row>
    <row r="12" spans="1:10">
      <c r="A12" t="str">
        <f t="shared" si="0"/>
        <v>bare_inside_diameter_yr_1</v>
      </c>
      <c r="B12" t="s">
        <v>149</v>
      </c>
      <c r="C12">
        <f>outside_diameter-bare_wall__yr_1_mm/1000*2</f>
        <v>0.68464000000000003</v>
      </c>
      <c r="D12" t="s">
        <v>2</v>
      </c>
      <c r="E12" t="b">
        <v>1</v>
      </c>
      <c r="F12" t="b">
        <v>0</v>
      </c>
    </row>
    <row r="13" spans="1:10">
      <c r="A13" t="str">
        <f t="shared" si="0"/>
        <v>fbe_inside_diameter_yr_1</v>
      </c>
      <c r="B13" t="s">
        <v>150</v>
      </c>
      <c r="C13">
        <f>outside_diameter-fbe_wall__yr_1_mm/1000*2</f>
        <v>0.69214000000000009</v>
      </c>
      <c r="D13" t="s">
        <v>2</v>
      </c>
      <c r="E13" t="b">
        <v>1</v>
      </c>
      <c r="F13" t="b">
        <v>0</v>
      </c>
    </row>
    <row r="14" spans="1:10">
      <c r="A14" t="str">
        <f t="shared" si="0"/>
        <v>design_flow_rate_l_s</v>
      </c>
      <c r="B14" t="s">
        <v>3</v>
      </c>
      <c r="C14" s="131">
        <v>700</v>
      </c>
      <c r="D14" t="s">
        <v>4</v>
      </c>
      <c r="E14" t="b">
        <v>0</v>
      </c>
      <c r="F14" t="b">
        <v>1</v>
      </c>
    </row>
    <row r="15" spans="1:10">
      <c r="A15" t="str">
        <f t="shared" si="0"/>
        <v>design_flow_rate_m3_s</v>
      </c>
      <c r="B15" t="s">
        <v>3</v>
      </c>
      <c r="C15">
        <f>design_flow_rate_l_s/1000</f>
        <v>0.7</v>
      </c>
      <c r="D15" t="s">
        <v>5</v>
      </c>
      <c r="E15" t="b">
        <v>0</v>
      </c>
      <c r="F15" t="b">
        <v>0</v>
      </c>
    </row>
    <row r="16" spans="1:10">
      <c r="A16" t="str">
        <f t="shared" si="0"/>
        <v>x70_steel_density</v>
      </c>
      <c r="B16" t="s">
        <v>131</v>
      </c>
      <c r="C16" s="131">
        <v>7850</v>
      </c>
      <c r="D16" t="s">
        <v>7</v>
      </c>
      <c r="E16" t="b">
        <v>1</v>
      </c>
      <c r="F16" t="b">
        <v>1</v>
      </c>
    </row>
    <row r="17" spans="1:10">
      <c r="A17" t="str">
        <f t="shared" si="0"/>
        <v>fluid_density</v>
      </c>
      <c r="B17" t="s">
        <v>153</v>
      </c>
      <c r="C17" s="131">
        <v>1030</v>
      </c>
      <c r="D17" t="s">
        <v>7</v>
      </c>
      <c r="E17" t="b">
        <v>1</v>
      </c>
      <c r="F17" t="b">
        <v>1</v>
      </c>
    </row>
    <row r="18" spans="1:10">
      <c r="A18" t="str">
        <f t="shared" si="0"/>
        <v>dynamic_viscosity_of_water</v>
      </c>
      <c r="B18" t="s">
        <v>109</v>
      </c>
      <c r="C18" s="131">
        <v>1.2999999999999999E-3</v>
      </c>
      <c r="D18" t="s">
        <v>87</v>
      </c>
      <c r="E18" t="b">
        <v>1</v>
      </c>
      <c r="F18" t="b">
        <v>1</v>
      </c>
    </row>
    <row r="19" spans="1:10">
      <c r="A19" t="str">
        <f t="shared" ref="A19:A24" si="1">_xlfn.REGEXREPLACE(_xlfn.REGEXREPLACE(_xlfn.REGEXREPLACE(_xlfn.REGEXREPLACE(_xlfn.REGEXREPLACE(_xlfn.REGEXREPLACE(LOWER(B19&amp;IF(E19,"","_"&amp;D19)),"(³)","3"),"[ /]","_"),"\$","usd"),"year","yr"),"%","percent"),"²","2")</f>
        <v>roughness_bare_yr_1_mm</v>
      </c>
      <c r="B19" t="s">
        <v>137</v>
      </c>
      <c r="C19" s="156">
        <v>6.8000000000000005E-2</v>
      </c>
      <c r="D19" t="s">
        <v>10</v>
      </c>
      <c r="E19" t="b">
        <v>0</v>
      </c>
      <c r="F19" t="b">
        <v>0</v>
      </c>
      <c r="G19" s="158" t="s">
        <v>243</v>
      </c>
      <c r="H19" s="158"/>
      <c r="I19">
        <v>6.8000000000000005E-2</v>
      </c>
      <c r="J19" t="s">
        <v>236</v>
      </c>
    </row>
    <row r="20" spans="1:10">
      <c r="A20" t="str">
        <f t="shared" si="0"/>
        <v>roughness_bare_yr_25_mm</v>
      </c>
      <c r="B20" t="s">
        <v>138</v>
      </c>
      <c r="C20" s="156">
        <v>0.72</v>
      </c>
      <c r="D20" t="s">
        <v>10</v>
      </c>
      <c r="E20" t="b">
        <v>0</v>
      </c>
      <c r="F20" t="b">
        <v>0</v>
      </c>
      <c r="G20" s="158" t="s">
        <v>244</v>
      </c>
      <c r="H20" s="158"/>
      <c r="I20">
        <v>0.72</v>
      </c>
      <c r="J20" t="s">
        <v>237</v>
      </c>
    </row>
    <row r="21" spans="1:10">
      <c r="A21" t="str">
        <f t="shared" si="0"/>
        <v>roughness_fbe_yr_1_mm</v>
      </c>
      <c r="B21" t="s">
        <v>135</v>
      </c>
      <c r="C21" s="156">
        <v>1.4999999999999999E-2</v>
      </c>
      <c r="D21" t="s">
        <v>10</v>
      </c>
      <c r="E21" t="b">
        <v>0</v>
      </c>
      <c r="F21" t="b">
        <v>0</v>
      </c>
      <c r="G21" s="158" t="s">
        <v>245</v>
      </c>
      <c r="H21" s="158"/>
      <c r="J21" t="s">
        <v>240</v>
      </c>
    </row>
    <row r="22" spans="1:10">
      <c r="A22" t="str">
        <f t="shared" si="0"/>
        <v>roughness_fbe_yr_25_mm</v>
      </c>
      <c r="B22" t="s">
        <v>136</v>
      </c>
      <c r="C22" s="156">
        <v>3.5000000000000003E-2</v>
      </c>
      <c r="D22" t="s">
        <v>10</v>
      </c>
      <c r="E22" t="b">
        <v>0</v>
      </c>
      <c r="F22" t="b">
        <v>0</v>
      </c>
      <c r="G22" s="158" t="s">
        <v>241</v>
      </c>
      <c r="H22" s="158"/>
      <c r="J22" t="s">
        <v>242</v>
      </c>
    </row>
    <row r="23" spans="1:10">
      <c r="A23" t="str">
        <f t="shared" si="0"/>
        <v>interior_fbe_thickness_µm</v>
      </c>
      <c r="B23" t="s">
        <v>71</v>
      </c>
      <c r="C23" s="151">
        <v>500</v>
      </c>
      <c r="D23" t="s">
        <v>253</v>
      </c>
      <c r="E23" t="b">
        <v>0</v>
      </c>
      <c r="F23" t="b">
        <v>0</v>
      </c>
      <c r="G23" t="s">
        <v>235</v>
      </c>
    </row>
    <row r="24" spans="1:10">
      <c r="A24" t="str">
        <f t="shared" si="0"/>
        <v>service_life_yr</v>
      </c>
      <c r="B24" t="s">
        <v>151</v>
      </c>
      <c r="C24" s="131">
        <v>25</v>
      </c>
      <c r="D24" t="s">
        <v>146</v>
      </c>
      <c r="E24" t="b">
        <v>0</v>
      </c>
      <c r="F24" t="b">
        <v>1</v>
      </c>
    </row>
    <row r="25" spans="1:10">
      <c r="A25" t="str">
        <f t="shared" si="0"/>
        <v>annual_hours_of_operation_h_yr</v>
      </c>
      <c r="B25" t="s">
        <v>84</v>
      </c>
      <c r="C25" s="160">
        <v>8400</v>
      </c>
      <c r="D25" t="s">
        <v>11</v>
      </c>
      <c r="E25" t="b">
        <v>0</v>
      </c>
      <c r="F25" t="b">
        <v>1</v>
      </c>
    </row>
    <row r="26" spans="1:10">
      <c r="A26" t="str">
        <f t="shared" si="0"/>
        <v>pump_efficiency_percent</v>
      </c>
      <c r="B26" t="s">
        <v>14</v>
      </c>
      <c r="C26" s="151">
        <v>82</v>
      </c>
      <c r="D26" t="s">
        <v>22</v>
      </c>
      <c r="E26" t="b">
        <v>0</v>
      </c>
      <c r="F26" t="b">
        <v>1</v>
      </c>
    </row>
    <row r="27" spans="1:10">
      <c r="A27" t="str">
        <f t="shared" si="0"/>
        <v>pump_efficiency</v>
      </c>
      <c r="B27" t="s">
        <v>14</v>
      </c>
      <c r="C27" s="107">
        <v>0.82</v>
      </c>
      <c r="E27" t="b">
        <v>1</v>
      </c>
      <c r="F27" t="b">
        <v>0</v>
      </c>
    </row>
    <row r="28" spans="1:10">
      <c r="A28" t="str">
        <f t="shared" si="0"/>
        <v>annual_discount_rate_percent</v>
      </c>
      <c r="B28" t="s">
        <v>70</v>
      </c>
      <c r="C28" s="131">
        <v>10</v>
      </c>
      <c r="D28" t="s">
        <v>22</v>
      </c>
      <c r="E28" t="b">
        <v>0</v>
      </c>
      <c r="F28" t="b">
        <v>1</v>
      </c>
    </row>
    <row r="29" spans="1:10">
      <c r="A29" t="str">
        <f t="shared" si="0"/>
        <v>annual_discount_rate</v>
      </c>
      <c r="B29" t="s">
        <v>70</v>
      </c>
      <c r="C29">
        <f>annual_discount_rate_percent/100</f>
        <v>0.1</v>
      </c>
      <c r="D29" t="s">
        <v>22</v>
      </c>
      <c r="E29" t="b">
        <v>1</v>
      </c>
      <c r="F29" t="b">
        <v>0</v>
      </c>
    </row>
    <row r="30" spans="1:10">
      <c r="A30" t="str">
        <f t="shared" si="0"/>
        <v>hrc_price_usd_t</v>
      </c>
      <c r="B30" t="s">
        <v>134</v>
      </c>
      <c r="C30" s="131">
        <v>550</v>
      </c>
      <c r="D30" t="s">
        <v>58</v>
      </c>
      <c r="E30" t="b">
        <v>0</v>
      </c>
      <c r="F30" t="b">
        <v>0</v>
      </c>
      <c r="G30" s="158" t="s">
        <v>249</v>
      </c>
      <c r="H30" s="158"/>
      <c r="I30">
        <f>AVERAGE(725,800)</f>
        <v>762.5</v>
      </c>
    </row>
    <row r="31" spans="1:10">
      <c r="A31" t="str">
        <f t="shared" si="0"/>
        <v>field_coating_usd_joint</v>
      </c>
      <c r="B31" t="s">
        <v>142</v>
      </c>
      <c r="C31" s="161">
        <v>1000</v>
      </c>
      <c r="D31" t="s">
        <v>111</v>
      </c>
      <c r="E31" t="b">
        <v>0</v>
      </c>
      <c r="F31" t="b">
        <v>0</v>
      </c>
      <c r="G31" t="s">
        <v>247</v>
      </c>
    </row>
    <row r="32" spans="1:10">
      <c r="A32" t="str">
        <f t="shared" si="0"/>
        <v>electrical_energy_usd_mwh</v>
      </c>
      <c r="B32" t="s">
        <v>143</v>
      </c>
      <c r="C32" s="131">
        <v>175</v>
      </c>
      <c r="D32" t="s">
        <v>147</v>
      </c>
      <c r="E32" t="b">
        <v>0</v>
      </c>
      <c r="F32" t="b">
        <v>0</v>
      </c>
    </row>
    <row r="33" spans="1:6">
      <c r="A33" t="str">
        <f t="shared" si="0"/>
        <v>gravitational_acceleration</v>
      </c>
      <c r="B33" t="s">
        <v>12</v>
      </c>
      <c r="C33" s="133">
        <v>9.8066499999999994</v>
      </c>
      <c r="D33" t="s">
        <v>13</v>
      </c>
      <c r="E33" t="b">
        <v>1</v>
      </c>
      <c r="F33" t="b">
        <v>0</v>
      </c>
    </row>
  </sheetData>
  <hyperlinks>
    <hyperlink ref="G22" r:id="rId1" xr:uid="{B65FC443-1221-CE48-A9F7-B2A8789A5F5C}"/>
    <hyperlink ref="G19" r:id="rId2" xr:uid="{26E8F0F0-38A1-4E41-9D12-93529C59C0F8}"/>
    <hyperlink ref="G20" r:id="rId3" xr:uid="{FDBA5EFB-C4D2-2A4E-8F5E-A17FF62C9943}"/>
    <hyperlink ref="G21" r:id="rId4" xr:uid="{084B8C38-7F2F-A04D-8866-186EAC8ADB94}"/>
    <hyperlink ref="G9" r:id="rId5" xr:uid="{D05F0AB7-465E-1941-98EC-21F2231C3247}"/>
    <hyperlink ref="G30" r:id="rId6" xr:uid="{931A2F84-0561-3441-82B8-9E90050F075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13F0-113D-E347-9D20-72E2B93074F7}">
  <dimension ref="B3:H27"/>
  <sheetViews>
    <sheetView topLeftCell="A3" zoomScale="150" zoomScaleNormal="150" workbookViewId="0">
      <selection activeCell="D21" sqref="D21"/>
    </sheetView>
    <sheetView workbookViewId="1"/>
  </sheetViews>
  <sheetFormatPr baseColWidth="10" defaultRowHeight="16"/>
  <cols>
    <col min="1" max="1" width="10.83203125" style="1"/>
    <col min="2" max="2" width="31" style="1" bestFit="1" customWidth="1"/>
    <col min="3" max="4" width="13.5" style="1" customWidth="1"/>
    <col min="5" max="5" width="14.33203125" style="1" customWidth="1"/>
    <col min="6" max="6" width="36.6640625" style="1" bestFit="1" customWidth="1"/>
    <col min="7" max="16384" width="10.83203125" style="1"/>
  </cols>
  <sheetData>
    <row r="3" spans="2:8" ht="53" customHeight="1">
      <c r="B3" s="3" t="s">
        <v>49</v>
      </c>
      <c r="C3" s="3" t="s">
        <v>57</v>
      </c>
      <c r="D3" s="3" t="s">
        <v>47</v>
      </c>
      <c r="E3" s="3"/>
      <c r="F3" s="2" t="s">
        <v>46</v>
      </c>
      <c r="G3" s="2" t="s">
        <v>56</v>
      </c>
    </row>
    <row r="4" spans="2:8" ht="17">
      <c r="B4" s="3" t="s">
        <v>55</v>
      </c>
      <c r="C4" s="7">
        <f t="shared" ref="C4:C9" si="0">G4*0.145038</f>
        <v>1180.1742059999999</v>
      </c>
      <c r="D4" s="3">
        <v>0.47</v>
      </c>
      <c r="E4" s="2"/>
      <c r="F4" s="2">
        <v>1043.5</v>
      </c>
      <c r="G4" s="2">
        <v>8137</v>
      </c>
    </row>
    <row r="5" spans="2:8" ht="17">
      <c r="B5" s="3" t="s">
        <v>54</v>
      </c>
      <c r="C5" s="7">
        <f t="shared" si="0"/>
        <v>1132.3116660000001</v>
      </c>
      <c r="D5" s="3">
        <v>15.9</v>
      </c>
      <c r="E5" s="2"/>
      <c r="F5" s="2">
        <v>1031.4000000000001</v>
      </c>
      <c r="G5" s="2">
        <v>7807</v>
      </c>
    </row>
    <row r="6" spans="2:8" ht="17">
      <c r="B6" s="3" t="s">
        <v>53</v>
      </c>
      <c r="C6" s="7">
        <f t="shared" si="0"/>
        <v>1314.479394</v>
      </c>
      <c r="D6" s="3">
        <v>26</v>
      </c>
      <c r="E6" s="2"/>
      <c r="F6" s="2">
        <v>876.8</v>
      </c>
      <c r="G6" s="2">
        <v>9063</v>
      </c>
    </row>
    <row r="7" spans="2:8" ht="17">
      <c r="B7" s="3" t="s">
        <v>52</v>
      </c>
      <c r="C7" s="7">
        <f t="shared" si="0"/>
        <v>1674.8988240000001</v>
      </c>
      <c r="D7" s="3">
        <v>12.7</v>
      </c>
      <c r="E7" s="2"/>
      <c r="F7" s="2">
        <v>666.5</v>
      </c>
      <c r="G7" s="2">
        <v>11548</v>
      </c>
    </row>
    <row r="8" spans="2:8" ht="17">
      <c r="B8" s="3" t="s">
        <v>51</v>
      </c>
      <c r="C8" s="7">
        <f t="shared" si="0"/>
        <v>1183.800156</v>
      </c>
      <c r="D8" s="3">
        <v>40.799999999999997</v>
      </c>
      <c r="E8" s="2"/>
      <c r="F8" s="2">
        <v>923.7</v>
      </c>
      <c r="G8" s="2">
        <v>8162</v>
      </c>
    </row>
    <row r="9" spans="2:8" ht="17">
      <c r="B9" s="3" t="s">
        <v>50</v>
      </c>
      <c r="C9" s="7">
        <f t="shared" si="0"/>
        <v>1163.4948360000001</v>
      </c>
      <c r="D9" s="3">
        <v>42.1</v>
      </c>
      <c r="E9" s="2"/>
      <c r="F9" s="2">
        <v>933.9</v>
      </c>
      <c r="G9" s="2">
        <v>8022</v>
      </c>
    </row>
    <row r="10" spans="2:8">
      <c r="B10" s="6"/>
      <c r="C10" s="6"/>
      <c r="D10" s="6"/>
    </row>
    <row r="11" spans="2:8" ht="54" customHeight="1">
      <c r="B11" s="3" t="s">
        <v>49</v>
      </c>
      <c r="C11" s="6" t="s">
        <v>48</v>
      </c>
      <c r="D11" s="3" t="s">
        <v>47</v>
      </c>
      <c r="E11" s="3"/>
      <c r="F11" s="2" t="s">
        <v>46</v>
      </c>
      <c r="G11" s="2" t="s">
        <v>45</v>
      </c>
      <c r="H11" s="2" t="s">
        <v>44</v>
      </c>
    </row>
    <row r="12" spans="2:8" ht="17">
      <c r="B12" s="3" t="s">
        <v>43</v>
      </c>
      <c r="C12" s="7">
        <f>H12*0.145038</f>
        <v>1444.8685559999999</v>
      </c>
      <c r="D12" s="3">
        <v>0</v>
      </c>
      <c r="E12" s="2"/>
      <c r="F12" s="2">
        <v>1020.5</v>
      </c>
      <c r="G12" s="2">
        <v>23000</v>
      </c>
      <c r="H12" s="2">
        <v>9962</v>
      </c>
    </row>
    <row r="13" spans="2:8" ht="17">
      <c r="B13" s="3" t="s">
        <v>42</v>
      </c>
      <c r="C13" s="7">
        <f>H13*0.145038</f>
        <v>1307.807646</v>
      </c>
      <c r="D13" s="3">
        <v>0</v>
      </c>
      <c r="E13" s="2"/>
      <c r="F13" s="2">
        <v>1020.5</v>
      </c>
      <c r="G13" s="2">
        <v>9000</v>
      </c>
      <c r="H13" s="2">
        <v>9017</v>
      </c>
    </row>
    <row r="14" spans="2:8" ht="17">
      <c r="B14" s="3" t="s">
        <v>41</v>
      </c>
      <c r="C14" s="7">
        <f>H14*0.145038</f>
        <v>1444.8685559999999</v>
      </c>
      <c r="D14" s="3">
        <v>0.5</v>
      </c>
      <c r="E14" s="2"/>
      <c r="F14" s="2">
        <v>1043.5</v>
      </c>
      <c r="G14" s="2">
        <v>23000</v>
      </c>
      <c r="H14" s="2">
        <v>9962</v>
      </c>
    </row>
    <row r="15" spans="2:8" ht="17">
      <c r="B15" s="3" t="s">
        <v>40</v>
      </c>
      <c r="C15" s="7">
        <f>H15*0.145038</f>
        <v>1384.38771</v>
      </c>
      <c r="D15" s="3">
        <v>15.9</v>
      </c>
      <c r="E15" s="2"/>
      <c r="F15" s="2">
        <v>1031.4000000000001</v>
      </c>
      <c r="G15" s="2">
        <v>23000</v>
      </c>
      <c r="H15" s="2">
        <v>9545</v>
      </c>
    </row>
    <row r="16" spans="2:8" ht="17">
      <c r="B16" s="3" t="s">
        <v>39</v>
      </c>
      <c r="C16" s="7">
        <f>H16*0.145038</f>
        <v>1592.082126</v>
      </c>
      <c r="D16" s="3">
        <v>26</v>
      </c>
      <c r="E16" s="2"/>
      <c r="F16" s="2">
        <v>876.5</v>
      </c>
      <c r="G16" s="2">
        <v>20000</v>
      </c>
      <c r="H16" s="2">
        <v>10977</v>
      </c>
    </row>
    <row r="17" spans="2:5">
      <c r="B17" s="6"/>
      <c r="C17" s="6"/>
      <c r="D17" s="6"/>
    </row>
    <row r="18" spans="2:5" ht="17">
      <c r="B18" s="3" t="s">
        <v>38</v>
      </c>
      <c r="C18" s="3" t="s">
        <v>37</v>
      </c>
      <c r="D18" s="3" t="s">
        <v>36</v>
      </c>
      <c r="E18" s="3"/>
    </row>
    <row r="19" spans="2:5" ht="17">
      <c r="B19" s="3" t="s">
        <v>35</v>
      </c>
      <c r="C19" s="3" t="s">
        <v>34</v>
      </c>
      <c r="D19" s="5">
        <v>45590</v>
      </c>
      <c r="E19" s="4"/>
    </row>
    <row r="20" spans="2:5" ht="17">
      <c r="B20" s="3" t="s">
        <v>33</v>
      </c>
      <c r="C20" s="3" t="s">
        <v>7</v>
      </c>
      <c r="D20" s="3">
        <v>1000</v>
      </c>
      <c r="E20" s="2"/>
    </row>
    <row r="21" spans="2:5" ht="17">
      <c r="B21" s="3" t="s">
        <v>32</v>
      </c>
      <c r="C21" s="3" t="s">
        <v>9</v>
      </c>
      <c r="D21" s="3">
        <v>1.3</v>
      </c>
      <c r="E21" s="2"/>
    </row>
    <row r="22" spans="2:5" ht="17">
      <c r="B22" s="3" t="s">
        <v>31</v>
      </c>
      <c r="C22" s="3" t="s">
        <v>6</v>
      </c>
      <c r="D22" s="3">
        <v>2268</v>
      </c>
      <c r="E22" s="2"/>
    </row>
    <row r="23" spans="2:5" ht="17">
      <c r="B23" s="3" t="s">
        <v>72</v>
      </c>
      <c r="C23" s="3" t="s">
        <v>26</v>
      </c>
      <c r="D23" s="3">
        <v>1.5840000000000001</v>
      </c>
    </row>
    <row r="24" spans="2:5" ht="17">
      <c r="B24" s="3" t="s">
        <v>30</v>
      </c>
      <c r="C24" s="3" t="s">
        <v>6</v>
      </c>
      <c r="D24" s="3">
        <v>720</v>
      </c>
      <c r="E24" s="2"/>
    </row>
    <row r="25" spans="2:5" ht="34">
      <c r="B25" s="3" t="s">
        <v>29</v>
      </c>
      <c r="C25" s="3" t="s">
        <v>10</v>
      </c>
      <c r="D25" s="3">
        <v>2.3E-2</v>
      </c>
      <c r="E25" s="2"/>
    </row>
    <row r="26" spans="2:5" ht="51">
      <c r="B26" s="3" t="s">
        <v>28</v>
      </c>
      <c r="C26" s="3" t="s">
        <v>26</v>
      </c>
      <c r="D26" s="3">
        <v>3</v>
      </c>
      <c r="E26" s="2"/>
    </row>
    <row r="27" spans="2:5" ht="51">
      <c r="B27" s="3" t="s">
        <v>27</v>
      </c>
      <c r="C27" s="3" t="s">
        <v>26</v>
      </c>
      <c r="D27" s="3">
        <v>8</v>
      </c>
      <c r="E27" s="2"/>
    </row>
  </sheetData>
  <pageMargins left="0.7" right="0.7" top="0.75" bottom="0.75" header="0.3" footer="0.3"/>
  <pageSetup orientation="portrait" horizontalDpi="0" verticalDpi="0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78BA-5E80-3042-B3AF-9144313DE68D}">
  <dimension ref="B2:F40"/>
  <sheetViews>
    <sheetView zoomScale="10" zoomScaleNormal="150" workbookViewId="0">
      <pane ySplit="2" topLeftCell="A27" activePane="bottomLeft" state="frozen"/>
      <selection pane="bottomLeft" activeCell="H23" sqref="H23"/>
    </sheetView>
    <sheetView workbookViewId="1"/>
  </sheetViews>
  <sheetFormatPr baseColWidth="10" defaultRowHeight="16"/>
  <cols>
    <col min="1" max="1" width="3" customWidth="1"/>
    <col min="2" max="2" width="26" bestFit="1" customWidth="1"/>
    <col min="3" max="5" width="11.83203125" customWidth="1"/>
  </cols>
  <sheetData>
    <row r="2" spans="2:6">
      <c r="B2" s="71" t="s">
        <v>129</v>
      </c>
      <c r="C2" s="71" t="s">
        <v>24</v>
      </c>
      <c r="D2" s="71" t="s">
        <v>23</v>
      </c>
      <c r="E2" s="71" t="s">
        <v>141</v>
      </c>
      <c r="F2" s="71" t="s">
        <v>145</v>
      </c>
    </row>
    <row r="3" spans="2:6">
      <c r="B3" t="s">
        <v>131</v>
      </c>
      <c r="C3" s="74">
        <f>x70_steel_density</f>
        <v>7850</v>
      </c>
      <c r="D3" s="72" t="s">
        <v>7</v>
      </c>
      <c r="E3" t="b">
        <v>1</v>
      </c>
    </row>
    <row r="4" spans="2:6">
      <c r="B4" t="s">
        <v>154</v>
      </c>
      <c r="C4">
        <f>bare_wall__yr_1_mm</f>
        <v>13.28</v>
      </c>
      <c r="D4" t="s">
        <v>10</v>
      </c>
      <c r="E4" t="b">
        <v>0</v>
      </c>
    </row>
    <row r="5" spans="2:6">
      <c r="B5" t="s">
        <v>132</v>
      </c>
      <c r="C5">
        <f>outside_diameter</f>
        <v>0.71120000000000005</v>
      </c>
      <c r="D5" t="s">
        <v>2</v>
      </c>
      <c r="E5" t="b">
        <v>1</v>
      </c>
    </row>
    <row r="6" spans="2:6">
      <c r="B6" t="s">
        <v>155</v>
      </c>
      <c r="C6" s="74">
        <f>pipeline_length</f>
        <v>70000</v>
      </c>
      <c r="D6" t="s">
        <v>2</v>
      </c>
      <c r="E6" t="b">
        <v>1</v>
      </c>
    </row>
    <row r="7" spans="2:6">
      <c r="B7" t="s">
        <v>156</v>
      </c>
      <c r="C7" s="73">
        <f>hrc_price_usd_t/1000</f>
        <v>0.55000000000000004</v>
      </c>
      <c r="D7" t="s">
        <v>159</v>
      </c>
      <c r="E7" t="b">
        <v>0</v>
      </c>
    </row>
    <row r="8" spans="2:6">
      <c r="B8" t="s">
        <v>161</v>
      </c>
      <c r="C8">
        <v>15</v>
      </c>
      <c r="D8" t="s">
        <v>58</v>
      </c>
      <c r="E8" t="b">
        <v>0</v>
      </c>
    </row>
    <row r="9" spans="2:6">
      <c r="B9" t="s">
        <v>162</v>
      </c>
      <c r="C9">
        <v>120</v>
      </c>
      <c r="D9" t="s">
        <v>58</v>
      </c>
      <c r="E9" t="b">
        <v>0</v>
      </c>
    </row>
    <row r="10" spans="2:6">
      <c r="B10" t="s">
        <v>163</v>
      </c>
      <c r="C10">
        <v>35</v>
      </c>
      <c r="D10" t="s">
        <v>58</v>
      </c>
      <c r="E10" t="b">
        <v>0</v>
      </c>
    </row>
    <row r="11" spans="2:6">
      <c r="B11" t="s">
        <v>158</v>
      </c>
      <c r="C11">
        <f>SUM(C8:C10)</f>
        <v>170</v>
      </c>
      <c r="D11" t="s">
        <v>58</v>
      </c>
    </row>
    <row r="12" spans="2:6">
      <c r="B12" t="s">
        <v>158</v>
      </c>
      <c r="C12" s="73">
        <f>SUM(C8:C10)/1000</f>
        <v>0.17</v>
      </c>
      <c r="D12" t="s">
        <v>159</v>
      </c>
      <c r="E12" t="b">
        <v>0</v>
      </c>
    </row>
    <row r="13" spans="2:6">
      <c r="B13" t="s">
        <v>252</v>
      </c>
      <c r="C13" s="75">
        <f>(C7*2+C12)</f>
        <v>1.27</v>
      </c>
      <c r="D13" t="s">
        <v>159</v>
      </c>
      <c r="E13" t="b">
        <v>0</v>
      </c>
    </row>
    <row r="14" spans="2:6">
      <c r="B14" t="s">
        <v>252</v>
      </c>
      <c r="C14" s="74">
        <f>cost_per_steel_weight*1000</f>
        <v>1270</v>
      </c>
      <c r="D14" t="s">
        <v>58</v>
      </c>
    </row>
    <row r="15" spans="2:6">
      <c r="B15" t="s">
        <v>205</v>
      </c>
      <c r="C15" s="113">
        <f>bare_inside_diameter_yr_1</f>
        <v>0.68464000000000003</v>
      </c>
      <c r="D15" t="s">
        <v>2</v>
      </c>
      <c r="E15" t="b">
        <v>1</v>
      </c>
    </row>
    <row r="16" spans="2:6">
      <c r="B16" t="s">
        <v>204</v>
      </c>
      <c r="C16" s="114">
        <f>PI()/4*(outside_diameter^2-bare_inside_diameter_yr_1^2)</f>
        <v>2.9117466978856206E-2</v>
      </c>
      <c r="D16" s="72" t="s">
        <v>188</v>
      </c>
      <c r="E16" t="b">
        <v>1</v>
      </c>
    </row>
    <row r="17" spans="2:6">
      <c r="B17" s="76" t="s">
        <v>206</v>
      </c>
      <c r="C17" s="74">
        <f>C18/1000</f>
        <v>16000.048104881484</v>
      </c>
      <c r="D17" t="s">
        <v>25</v>
      </c>
    </row>
    <row r="18" spans="2:6">
      <c r="B18" s="76" t="s">
        <v>206</v>
      </c>
      <c r="C18" s="77">
        <f>volume_1_m_bare*C3*C6</f>
        <v>16000048.104881484</v>
      </c>
      <c r="D18" s="76" t="s">
        <v>157</v>
      </c>
      <c r="E18" t="b">
        <v>1</v>
      </c>
    </row>
    <row r="19" spans="2:6">
      <c r="B19" t="s">
        <v>164</v>
      </c>
      <c r="C19" s="9">
        <f>C13*C18</f>
        <v>20320061.093199484</v>
      </c>
      <c r="D19" t="s">
        <v>160</v>
      </c>
    </row>
    <row r="22" spans="2:6">
      <c r="B22" s="71" t="s">
        <v>129</v>
      </c>
      <c r="C22" s="71" t="s">
        <v>24</v>
      </c>
      <c r="D22" s="71" t="s">
        <v>23</v>
      </c>
      <c r="E22" s="71" t="s">
        <v>141</v>
      </c>
      <c r="F22" s="71" t="s">
        <v>145</v>
      </c>
    </row>
    <row r="23" spans="2:6">
      <c r="B23" t="s">
        <v>131</v>
      </c>
      <c r="C23" s="74">
        <f>x70_steel_density</f>
        <v>7850</v>
      </c>
      <c r="D23" s="72" t="s">
        <v>7</v>
      </c>
      <c r="E23" t="b">
        <v>1</v>
      </c>
    </row>
    <row r="24" spans="2:6">
      <c r="B24" t="s">
        <v>165</v>
      </c>
      <c r="C24">
        <f>fbe_wall__yr_1_mm</f>
        <v>9.5299999999999994</v>
      </c>
      <c r="D24" t="s">
        <v>10</v>
      </c>
      <c r="E24" t="b">
        <v>0</v>
      </c>
    </row>
    <row r="25" spans="2:6">
      <c r="B25" t="s">
        <v>207</v>
      </c>
      <c r="C25">
        <f>fbe_inside_diameter_yr_1</f>
        <v>0.69214000000000009</v>
      </c>
      <c r="D25" t="s">
        <v>2</v>
      </c>
      <c r="E25" t="b">
        <v>1</v>
      </c>
    </row>
    <row r="26" spans="2:6">
      <c r="B26" t="s">
        <v>208</v>
      </c>
      <c r="C26">
        <f>PI()*(outside_diameter^2-fbe_inside_diameter_yr_1^2)/4</f>
        <v>2.1007563353338601E-2</v>
      </c>
      <c r="D26" s="72" t="s">
        <v>188</v>
      </c>
      <c r="E26" t="b">
        <v>1</v>
      </c>
    </row>
    <row r="27" spans="2:6">
      <c r="B27" s="76" t="s">
        <v>209</v>
      </c>
      <c r="C27" s="74">
        <f>C28/1000</f>
        <v>11543.656062659562</v>
      </c>
      <c r="D27" t="s">
        <v>25</v>
      </c>
    </row>
    <row r="28" spans="2:6">
      <c r="B28" s="76" t="s">
        <v>209</v>
      </c>
      <c r="C28" s="77">
        <f>volume_1_m_fbe*C3*C6</f>
        <v>11543656.062659562</v>
      </c>
      <c r="D28" s="76" t="s">
        <v>157</v>
      </c>
      <c r="E28" t="b">
        <v>1</v>
      </c>
    </row>
    <row r="29" spans="2:6">
      <c r="B29" t="s">
        <v>166</v>
      </c>
      <c r="C29" s="9">
        <f>C13*C28</f>
        <v>14660443.199577643</v>
      </c>
      <c r="D29" t="s">
        <v>160</v>
      </c>
    </row>
    <row r="32" spans="2:6">
      <c r="C32" t="s">
        <v>17</v>
      </c>
      <c r="D32" t="s">
        <v>232</v>
      </c>
      <c r="E32" t="s">
        <v>16</v>
      </c>
      <c r="F32" t="s">
        <v>168</v>
      </c>
    </row>
    <row r="33" spans="2:6">
      <c r="B33" s="13" t="s">
        <v>230</v>
      </c>
      <c r="C33">
        <f>bare_wall__yr_1_mm</f>
        <v>13.28</v>
      </c>
      <c r="D33">
        <f>C24</f>
        <v>9.5299999999999994</v>
      </c>
      <c r="F33" s="10">
        <f>1-C35/D35</f>
        <v>-0.38604684841894077</v>
      </c>
    </row>
    <row r="34" spans="2:6">
      <c r="B34" s="13" t="s">
        <v>231</v>
      </c>
      <c r="C34" s="74">
        <f>bare_steel_weight_t</f>
        <v>16000.048104881484</v>
      </c>
      <c r="D34" s="74">
        <f>fbe_steel_weight_t</f>
        <v>11543.656062659562</v>
      </c>
      <c r="E34" s="10"/>
    </row>
    <row r="35" spans="2:6">
      <c r="B35" s="13" t="s">
        <v>167</v>
      </c>
      <c r="C35" s="8">
        <f>capex_steel_bare</f>
        <v>20320061.093199484</v>
      </c>
      <c r="D35" s="8">
        <f>capex_steel_fbe</f>
        <v>14660443.199577643</v>
      </c>
      <c r="E35" s="8"/>
    </row>
    <row r="37" spans="2:6">
      <c r="B37" s="78" t="s">
        <v>169</v>
      </c>
      <c r="C37" s="78" t="s">
        <v>170</v>
      </c>
      <c r="D37" s="78" t="s">
        <v>171</v>
      </c>
    </row>
    <row r="38" spans="2:6">
      <c r="B38" s="78" t="s">
        <v>17</v>
      </c>
      <c r="C38" s="80">
        <f>C19</f>
        <v>20320061.093199484</v>
      </c>
      <c r="D38" s="79">
        <v>1</v>
      </c>
    </row>
    <row r="39" spans="2:6">
      <c r="B39" s="78" t="s">
        <v>18</v>
      </c>
      <c r="C39" s="80">
        <f>C29</f>
        <v>14660443.199577643</v>
      </c>
      <c r="D39" s="81">
        <f>C39/C38</f>
        <v>0.72147633475787398</v>
      </c>
    </row>
    <row r="40" spans="2:6">
      <c r="B40" s="78" t="s">
        <v>16</v>
      </c>
      <c r="C40" s="80">
        <f>C38-C39</f>
        <v>5659617.8936218414</v>
      </c>
      <c r="D40" s="81">
        <f>C40/C38</f>
        <v>0.27852366524212596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8109-15E4-A940-B9BB-5B54D77C876A}">
  <dimension ref="A1:E5"/>
  <sheetViews>
    <sheetView zoomScale="150" zoomScaleNormal="150" workbookViewId="0">
      <pane ySplit="1" topLeftCell="A2" activePane="bottomLeft" state="frozen"/>
      <selection pane="bottomLeft" activeCell="B5" sqref="B5"/>
    </sheetView>
    <sheetView workbookViewId="1"/>
  </sheetViews>
  <sheetFormatPr baseColWidth="10" defaultRowHeight="16"/>
  <cols>
    <col min="1" max="1" width="38.33203125" customWidth="1"/>
  </cols>
  <sheetData>
    <row r="1" spans="1:5">
      <c r="A1" s="71" t="s">
        <v>129</v>
      </c>
      <c r="B1" s="71" t="s">
        <v>24</v>
      </c>
      <c r="C1" s="71" t="s">
        <v>23</v>
      </c>
      <c r="D1" s="71" t="s">
        <v>141</v>
      </c>
      <c r="E1" s="71" t="s">
        <v>145</v>
      </c>
    </row>
    <row r="2" spans="1:5">
      <c r="A2" t="s">
        <v>175</v>
      </c>
      <c r="B2" s="82">
        <v>4.5</v>
      </c>
      <c r="C2" t="s">
        <v>59</v>
      </c>
    </row>
    <row r="3" spans="1:5">
      <c r="A3" t="s">
        <v>174</v>
      </c>
      <c r="B3">
        <f>design_flow_rate_l_s/1000</f>
        <v>0.7</v>
      </c>
      <c r="C3" t="s">
        <v>5</v>
      </c>
    </row>
    <row r="4" spans="1:5">
      <c r="A4" t="s">
        <v>172</v>
      </c>
      <c r="B4">
        <f>(24 * 60 * 60)</f>
        <v>86400</v>
      </c>
      <c r="C4" t="s">
        <v>173</v>
      </c>
    </row>
    <row r="5" spans="1:5">
      <c r="A5" t="s">
        <v>176</v>
      </c>
      <c r="B5" s="8">
        <f>Dosing_investment*B3*B4</f>
        <v>272160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DCF63-E6D6-E64D-988E-570BBA6A8598}">
  <dimension ref="A1:I10"/>
  <sheetViews>
    <sheetView zoomScale="150" zoomScaleNormal="150" workbookViewId="0">
      <pane ySplit="1" topLeftCell="A2" activePane="bottomLeft" state="frozen"/>
      <selection pane="bottomLeft" activeCell="B6" sqref="B6"/>
    </sheetView>
    <sheetView workbookViewId="1"/>
  </sheetViews>
  <sheetFormatPr baseColWidth="10" defaultRowHeight="15"/>
  <cols>
    <col min="1" max="1" width="34" style="84" bestFit="1" customWidth="1"/>
    <col min="2" max="2" width="11.1640625" style="84" bestFit="1" customWidth="1"/>
    <col min="3" max="4" width="11.33203125" style="84" bestFit="1" customWidth="1"/>
    <col min="5" max="16384" width="10.83203125" style="84"/>
  </cols>
  <sheetData>
    <row r="1" spans="1:9" customFormat="1" ht="16">
      <c r="A1" s="71" t="s">
        <v>129</v>
      </c>
      <c r="B1" s="71" t="s">
        <v>24</v>
      </c>
      <c r="C1" s="71" t="s">
        <v>23</v>
      </c>
      <c r="D1" s="71"/>
      <c r="E1" s="71"/>
    </row>
    <row r="2" spans="1:9">
      <c r="A2" s="85" t="s">
        <v>203</v>
      </c>
      <c r="B2" s="92">
        <v>5</v>
      </c>
      <c r="C2" s="84" t="s">
        <v>177</v>
      </c>
      <c r="I2" s="86"/>
    </row>
    <row r="3" spans="1:9">
      <c r="A3" s="111" t="s">
        <v>200</v>
      </c>
      <c r="B3" s="93">
        <f>fbe_inside_diameter_yr_1</f>
        <v>0.69214000000000009</v>
      </c>
      <c r="C3" s="84" t="s">
        <v>2</v>
      </c>
    </row>
    <row r="4" spans="1:9">
      <c r="A4" s="111" t="s">
        <v>201</v>
      </c>
      <c r="B4" s="84">
        <f>pipeline_length</f>
        <v>70000</v>
      </c>
      <c r="C4" s="84" t="s">
        <v>2</v>
      </c>
    </row>
    <row r="5" spans="1:9">
      <c r="A5" s="87" t="s">
        <v>202</v>
      </c>
      <c r="B5" s="94">
        <f>PI()*fbe_inside_diameter_yr_1*pipeline_length</f>
        <v>152209.53574789478</v>
      </c>
      <c r="C5" s="85" t="s">
        <v>61</v>
      </c>
    </row>
    <row r="6" spans="1:9">
      <c r="A6" s="111" t="s">
        <v>257</v>
      </c>
      <c r="B6" s="95">
        <f>FBE_cost_per_surface*fbe_inside_surface</f>
        <v>761047.67873947392</v>
      </c>
      <c r="C6" s="96"/>
    </row>
    <row r="7" spans="1:9">
      <c r="A7" s="111" t="s">
        <v>170</v>
      </c>
      <c r="B7" s="95">
        <f>capex_steel_fbe</f>
        <v>14660443.199577643</v>
      </c>
      <c r="F7" s="87"/>
      <c r="G7" s="86"/>
      <c r="H7" s="83"/>
      <c r="I7" s="83"/>
    </row>
    <row r="8" spans="1:9">
      <c r="B8" s="95">
        <f>SUM(B6:B7)</f>
        <v>15421490.878317116</v>
      </c>
      <c r="F8" s="87"/>
      <c r="G8" s="83"/>
      <c r="H8" s="83"/>
      <c r="I8" s="83"/>
    </row>
    <row r="9" spans="1:9">
      <c r="A9" s="111" t="s">
        <v>233</v>
      </c>
      <c r="B9" s="115">
        <f>interior_fbe_capex/FBE_plus_bare</f>
        <v>4.9349812203275376E-2</v>
      </c>
      <c r="F9" s="87"/>
      <c r="G9" s="88"/>
      <c r="H9" s="83"/>
      <c r="I9" s="83"/>
    </row>
    <row r="10" spans="1:9">
      <c r="A10" s="111" t="s">
        <v>234</v>
      </c>
      <c r="B10" s="115">
        <f>B7/FBE_plus_bare</f>
        <v>0.95065018779672472</v>
      </c>
      <c r="F10" s="89"/>
      <c r="G10" s="90"/>
      <c r="H10" s="83"/>
      <c r="I10" s="91"/>
    </row>
  </sheetData>
  <pageMargins left="0.7" right="0.7" top="0.75" bottom="0.75" header="0.3" footer="0.3"/>
  <pageSetup orientation="portrait" horizontalDpi="0" verticalDpi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A13A2-911B-9D49-B1C9-9DED1E3BE9CB}">
  <dimension ref="B2:G24"/>
  <sheetViews>
    <sheetView zoomScale="134" workbookViewId="0">
      <selection activeCell="E21" sqref="E21"/>
    </sheetView>
    <sheetView workbookViewId="1"/>
  </sheetViews>
  <sheetFormatPr baseColWidth="10" defaultRowHeight="16"/>
  <cols>
    <col min="1" max="1" width="4" customWidth="1"/>
    <col min="2" max="2" width="31" bestFit="1" customWidth="1"/>
    <col min="3" max="3" width="15" bestFit="1" customWidth="1"/>
    <col min="5" max="5" width="15" bestFit="1" customWidth="1"/>
  </cols>
  <sheetData>
    <row r="2" spans="2:7">
      <c r="B2" s="112" t="s">
        <v>60</v>
      </c>
      <c r="C2" s="112" t="s">
        <v>62</v>
      </c>
    </row>
    <row r="3" spans="2:7">
      <c r="B3" t="s">
        <v>178</v>
      </c>
      <c r="C3" s="12">
        <f>C$9*D3</f>
        <v>24</v>
      </c>
      <c r="D3" s="97">
        <v>2.4E-2</v>
      </c>
    </row>
    <row r="4" spans="2:7">
      <c r="B4" t="s">
        <v>179</v>
      </c>
      <c r="C4" s="12">
        <f t="shared" ref="C4:C8" si="0">C$9*D4</f>
        <v>15</v>
      </c>
      <c r="D4" s="97">
        <v>1.4999999999999999E-2</v>
      </c>
      <c r="G4">
        <f>43/5</f>
        <v>8.6</v>
      </c>
    </row>
    <row r="5" spans="2:7">
      <c r="B5" t="s">
        <v>180</v>
      </c>
      <c r="C5" s="12">
        <f t="shared" si="0"/>
        <v>549</v>
      </c>
      <c r="D5" s="97">
        <v>0.54900000000000004</v>
      </c>
    </row>
    <row r="6" spans="2:7">
      <c r="B6" t="s">
        <v>181</v>
      </c>
      <c r="C6" s="12">
        <f t="shared" si="0"/>
        <v>162</v>
      </c>
      <c r="D6" s="97">
        <v>0.16200000000000001</v>
      </c>
    </row>
    <row r="7" spans="2:7">
      <c r="B7" t="s">
        <v>182</v>
      </c>
      <c r="C7" s="12">
        <f t="shared" si="0"/>
        <v>197</v>
      </c>
      <c r="D7" s="97">
        <v>0.19700000000000001</v>
      </c>
    </row>
    <row r="8" spans="2:7">
      <c r="B8" s="76" t="s">
        <v>183</v>
      </c>
      <c r="C8" s="100">
        <f t="shared" si="0"/>
        <v>53</v>
      </c>
      <c r="D8" s="98">
        <v>5.2999999999999999E-2</v>
      </c>
    </row>
    <row r="9" spans="2:7">
      <c r="B9" t="s">
        <v>184</v>
      </c>
      <c r="C9" s="12">
        <f>field_coating_usd_joint</f>
        <v>1000</v>
      </c>
      <c r="D9" s="99">
        <f>SUM(D3:D8)</f>
        <v>1</v>
      </c>
    </row>
    <row r="11" spans="2:7">
      <c r="B11" t="s">
        <v>144</v>
      </c>
      <c r="C11">
        <f>pipeline_length</f>
        <v>70000</v>
      </c>
    </row>
    <row r="12" spans="2:7">
      <c r="B12" t="s">
        <v>133</v>
      </c>
      <c r="C12">
        <f>segment_length</f>
        <v>12</v>
      </c>
    </row>
    <row r="13" spans="2:7">
      <c r="B13" s="76" t="s">
        <v>186</v>
      </c>
      <c r="C13" s="159">
        <f>ROUNDUP(pipeline_length/segment_length,0)</f>
        <v>5834</v>
      </c>
      <c r="E13" s="162"/>
    </row>
    <row r="14" spans="2:7">
      <c r="B14" t="s">
        <v>185</v>
      </c>
      <c r="C14" s="8">
        <f>C13*C9</f>
        <v>5834000</v>
      </c>
    </row>
    <row r="16" spans="2:7">
      <c r="B16" t="s">
        <v>258</v>
      </c>
      <c r="C16" s="165">
        <v>4.1999999999999997E-3</v>
      </c>
      <c r="D16" s="116"/>
    </row>
    <row r="17" spans="2:5">
      <c r="B17" t="s">
        <v>259</v>
      </c>
      <c r="C17" s="164">
        <f>1-C16</f>
        <v>0.99580000000000002</v>
      </c>
    </row>
    <row r="18" spans="2:5">
      <c r="B18" t="s">
        <v>260</v>
      </c>
      <c r="C18">
        <f>ROUND(field_coating_total/Shop_fbe_coating,1)</f>
        <v>7.7</v>
      </c>
    </row>
    <row r="19" spans="2:5">
      <c r="B19" t="s">
        <v>261</v>
      </c>
      <c r="C19" s="74">
        <f>(field_coating_total/C16-Shop_fbe_coating/C17)/(Shop_fbe_coating/C17)</f>
        <v>1816.5124340943278</v>
      </c>
    </row>
    <row r="21" spans="2:5">
      <c r="B21" t="s">
        <v>213</v>
      </c>
      <c r="C21" s="8">
        <f>capex_steel_fbe</f>
        <v>14660443.199577643</v>
      </c>
      <c r="D21" s="10">
        <f>Total_Steel_cost/Total_Field_Shop_Steel</f>
        <v>0.68972498840442531</v>
      </c>
    </row>
    <row r="22" spans="2:5">
      <c r="B22" t="s">
        <v>212</v>
      </c>
      <c r="C22" s="8">
        <f>field_coating_total</f>
        <v>5834000</v>
      </c>
      <c r="D22" s="10">
        <f>field_Joint_Coating/Total_Field_Shop_Steel</f>
        <v>0.27447025492840094</v>
      </c>
      <c r="E22" s="163"/>
    </row>
    <row r="23" spans="2:5">
      <c r="B23" t="s">
        <v>211</v>
      </c>
      <c r="C23" s="8">
        <f>interior_fbe_capex</f>
        <v>761047.67873947392</v>
      </c>
      <c r="D23" s="10">
        <f>Shop_fbe_coating/Total_Field_Shop_Steel</f>
        <v>3.5804756667173671E-2</v>
      </c>
    </row>
    <row r="24" spans="2:5">
      <c r="B24" t="s">
        <v>214</v>
      </c>
      <c r="C24" s="8">
        <f>SUM(C21:C23)</f>
        <v>21255490.878317118</v>
      </c>
      <c r="D24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EEADF-8A01-E74D-A0E2-986F52611BCE}">
  <dimension ref="B1:L15"/>
  <sheetViews>
    <sheetView zoomScale="160" zoomScaleNormal="96" workbookViewId="0">
      <pane ySplit="1" topLeftCell="A2" activePane="bottomLeft" state="frozen"/>
      <selection pane="bottomLeft" activeCell="F15" sqref="F15"/>
    </sheetView>
    <sheetView workbookViewId="1"/>
  </sheetViews>
  <sheetFormatPr baseColWidth="10" defaultRowHeight="16"/>
  <cols>
    <col min="2" max="2" width="22.33203125" bestFit="1" customWidth="1"/>
    <col min="3" max="3" width="12" bestFit="1" customWidth="1"/>
    <col min="4" max="6" width="14.1640625" customWidth="1"/>
    <col min="7" max="7" width="17" bestFit="1" customWidth="1"/>
    <col min="8" max="8" width="12" bestFit="1" customWidth="1"/>
    <col min="9" max="9" width="11.1640625" customWidth="1"/>
    <col min="10" max="10" width="15.33203125" bestFit="1" customWidth="1"/>
    <col min="11" max="11" width="15.6640625" bestFit="1" customWidth="1"/>
  </cols>
  <sheetData>
    <row r="1" spans="2:12">
      <c r="B1" s="71" t="s">
        <v>129</v>
      </c>
      <c r="C1" s="71" t="s">
        <v>24</v>
      </c>
      <c r="D1" s="71" t="s">
        <v>23</v>
      </c>
    </row>
    <row r="2" spans="2:12">
      <c r="B2" t="s">
        <v>174</v>
      </c>
      <c r="C2">
        <v>0.7</v>
      </c>
      <c r="D2" t="s">
        <v>5</v>
      </c>
    </row>
    <row r="3" spans="2:12">
      <c r="B3" t="s">
        <v>174</v>
      </c>
      <c r="C3">
        <f>C2*3600</f>
        <v>2520</v>
      </c>
      <c r="D3" t="s">
        <v>192</v>
      </c>
    </row>
    <row r="4" spans="2:12">
      <c r="B4" t="s">
        <v>174</v>
      </c>
      <c r="C4">
        <f>C3*24*30</f>
        <v>1814400</v>
      </c>
      <c r="D4" t="s">
        <v>191</v>
      </c>
    </row>
    <row r="5" spans="2:12">
      <c r="B5" t="s">
        <v>84</v>
      </c>
      <c r="C5">
        <f>annual_hours_operation_h_yr</f>
        <v>8400</v>
      </c>
      <c r="D5" t="s">
        <v>187</v>
      </c>
    </row>
    <row r="6" spans="2:12">
      <c r="B6" t="s">
        <v>189</v>
      </c>
      <c r="C6" s="201">
        <f>C5*C3</f>
        <v>21168000</v>
      </c>
      <c r="D6" t="s">
        <v>188</v>
      </c>
    </row>
    <row r="7" spans="2:12">
      <c r="B7" t="s">
        <v>153</v>
      </c>
      <c r="C7">
        <f>fluid_density</f>
        <v>1030</v>
      </c>
      <c r="D7" s="72" t="s">
        <v>7</v>
      </c>
      <c r="E7" s="102"/>
      <c r="F7" s="102"/>
      <c r="G7" s="102"/>
      <c r="H7" s="102"/>
      <c r="I7" s="102"/>
      <c r="J7" s="104"/>
      <c r="K7" s="104"/>
      <c r="L7" s="103"/>
    </row>
    <row r="8" spans="2:12">
      <c r="B8" s="102" t="s">
        <v>198</v>
      </c>
      <c r="C8" s="108">
        <f>annual_discount_rate</f>
        <v>0.1</v>
      </c>
      <c r="D8" s="102"/>
    </row>
    <row r="9" spans="2:12">
      <c r="B9" s="102" t="s">
        <v>229</v>
      </c>
      <c r="C9" s="130">
        <v>0.2</v>
      </c>
    </row>
    <row r="10" spans="2:12" ht="34">
      <c r="B10" s="71" t="s">
        <v>196</v>
      </c>
      <c r="C10" s="71" t="s">
        <v>193</v>
      </c>
      <c r="D10" s="189" t="s">
        <v>195</v>
      </c>
      <c r="E10" s="189" t="s">
        <v>194</v>
      </c>
      <c r="F10" s="71" t="s">
        <v>21</v>
      </c>
      <c r="G10" s="189" t="s">
        <v>197</v>
      </c>
    </row>
    <row r="11" spans="2:12">
      <c r="B11" s="190" t="s">
        <v>190</v>
      </c>
      <c r="C11" s="191">
        <v>26</v>
      </c>
      <c r="D11" s="192">
        <f>C11*$C$6/1000</f>
        <v>550368</v>
      </c>
      <c r="E11" s="193">
        <v>1.8</v>
      </c>
      <c r="F11" s="194">
        <f>E11*D11</f>
        <v>990662.4</v>
      </c>
      <c r="G11" s="195">
        <f>D11/12</f>
        <v>45864</v>
      </c>
    </row>
    <row r="12" spans="2:12">
      <c r="B12" s="172" t="s">
        <v>20</v>
      </c>
      <c r="C12" s="196">
        <v>0.456349206349206</v>
      </c>
      <c r="D12" s="197">
        <f>C12*$C$6/1000</f>
        <v>9659.9999999999927</v>
      </c>
      <c r="E12" s="106">
        <f>16*(1-C9)</f>
        <v>12.8</v>
      </c>
      <c r="F12" s="198">
        <f>E12*D12</f>
        <v>123647.99999999991</v>
      </c>
      <c r="G12" s="105">
        <f>D12/12</f>
        <v>804.99999999999943</v>
      </c>
    </row>
    <row r="13" spans="2:12">
      <c r="B13" s="172" t="s">
        <v>274</v>
      </c>
      <c r="C13" s="196"/>
      <c r="D13" s="197"/>
      <c r="E13" s="106"/>
      <c r="F13" s="198">
        <v>12000</v>
      </c>
      <c r="G13" s="105"/>
    </row>
    <row r="14" spans="2:12">
      <c r="B14" s="171" t="s">
        <v>21</v>
      </c>
      <c r="C14" s="171"/>
      <c r="D14" s="171"/>
      <c r="E14" s="171"/>
      <c r="F14" s="199">
        <f>SUBTOTAL(109,Inhibitors!$F$11:$F$13)</f>
        <v>1126310.3999999999</v>
      </c>
      <c r="G14" s="200"/>
    </row>
    <row r="15" spans="2:12">
      <c r="E15" t="s">
        <v>199</v>
      </c>
      <c r="F15" s="169">
        <f>-PV(C8,25,Inhibitors!$F$14)</f>
        <v>10223564.573747916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03D1-A75D-E941-9154-04654FBCA689}">
  <dimension ref="B2:D8"/>
  <sheetViews>
    <sheetView zoomScale="163" zoomScaleNormal="163" workbookViewId="0">
      <selection activeCell="C8" sqref="C8"/>
    </sheetView>
    <sheetView workbookViewId="1"/>
  </sheetViews>
  <sheetFormatPr baseColWidth="10" defaultRowHeight="16"/>
  <cols>
    <col min="1" max="1" width="4.33203125" customWidth="1"/>
    <col min="2" max="2" width="19.83203125" bestFit="1" customWidth="1"/>
    <col min="3" max="3" width="13.33203125" bestFit="1" customWidth="1"/>
  </cols>
  <sheetData>
    <row r="2" spans="2:4">
      <c r="B2" s="71" t="s">
        <v>129</v>
      </c>
      <c r="C2" s="71" t="s">
        <v>24</v>
      </c>
      <c r="D2" s="71" t="s">
        <v>23</v>
      </c>
    </row>
    <row r="3" spans="2:4">
      <c r="B3" t="s">
        <v>217</v>
      </c>
      <c r="C3" s="8">
        <v>8000</v>
      </c>
      <c r="D3" t="s">
        <v>63</v>
      </c>
    </row>
    <row r="4" spans="2:4">
      <c r="B4" t="s">
        <v>218</v>
      </c>
      <c r="C4" s="8">
        <v>4000</v>
      </c>
      <c r="D4" t="s">
        <v>63</v>
      </c>
    </row>
    <row r="5" spans="2:4">
      <c r="B5" t="s">
        <v>215</v>
      </c>
      <c r="C5" s="8">
        <f>C3*pipeline_length/1000</f>
        <v>560000</v>
      </c>
    </row>
    <row r="6" spans="2:4">
      <c r="B6" t="s">
        <v>216</v>
      </c>
      <c r="C6" s="8">
        <f>C4*pipeline_length/1000</f>
        <v>280000</v>
      </c>
    </row>
    <row r="7" spans="2:4">
      <c r="B7" t="s">
        <v>219</v>
      </c>
      <c r="C7" s="101">
        <f>-PV(annual_discount_rate,25,C5)</f>
        <v>5083142.4102084404</v>
      </c>
    </row>
    <row r="8" spans="2:4">
      <c r="B8" t="s">
        <v>220</v>
      </c>
      <c r="C8" s="101">
        <f>-PV(annual_discount_rate,25,C6)</f>
        <v>2541571.2051042202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8F08-E7FB-424B-BF34-D78E61D823D3}">
  <sheetPr>
    <tabColor theme="0" tint="-0.499984740745262"/>
  </sheetPr>
  <dimension ref="A1:AD77"/>
  <sheetViews>
    <sheetView topLeftCell="Y18" zoomScale="182" zoomScaleNormal="180" zoomScaleSheetLayoutView="170" workbookViewId="0">
      <selection activeCell="AA44" sqref="AA44"/>
    </sheetView>
    <sheetView tabSelected="1" zoomScale="170" zoomScaleNormal="170" workbookViewId="1">
      <selection activeCell="Q46" sqref="Q46"/>
    </sheetView>
  </sheetViews>
  <sheetFormatPr baseColWidth="10" defaultColWidth="13.83203125" defaultRowHeight="12"/>
  <cols>
    <col min="1" max="1" width="7.1640625" style="14" bestFit="1" customWidth="1"/>
    <col min="2" max="3" width="9.1640625" style="14" customWidth="1"/>
    <col min="4" max="4" width="10.6640625" style="14" customWidth="1"/>
    <col min="5" max="5" width="11" style="14" bestFit="1" customWidth="1"/>
    <col min="6" max="6" width="9.1640625" style="14" customWidth="1"/>
    <col min="7" max="7" width="10.33203125" style="14" customWidth="1"/>
    <col min="8" max="8" width="8" style="14" customWidth="1"/>
    <col min="9" max="9" width="8.33203125" style="14" bestFit="1" customWidth="1"/>
    <col min="10" max="10" width="12" style="14" bestFit="1" customWidth="1"/>
    <col min="11" max="11" width="13.83203125" style="14" bestFit="1" customWidth="1"/>
    <col min="12" max="12" width="7.1640625" style="15" bestFit="1" customWidth="1"/>
    <col min="13" max="13" width="7.5" style="15" customWidth="1"/>
    <col min="14" max="14" width="8.1640625" style="15" bestFit="1" customWidth="1"/>
    <col min="15" max="15" width="9.6640625" style="15" bestFit="1" customWidth="1"/>
    <col min="16" max="16" width="8.83203125" style="15" bestFit="1" customWidth="1"/>
    <col min="17" max="17" width="10.33203125" style="15" bestFit="1" customWidth="1"/>
    <col min="18" max="18" width="5.1640625" style="15" bestFit="1" customWidth="1"/>
    <col min="19" max="20" width="6.6640625" style="15" bestFit="1" customWidth="1"/>
    <col min="21" max="22" width="10.6640625" style="15" bestFit="1" customWidth="1"/>
    <col min="23" max="23" width="6.83203125" style="16" bestFit="1" customWidth="1"/>
    <col min="24" max="24" width="4.83203125" style="17" customWidth="1"/>
    <col min="25" max="25" width="21" style="17" bestFit="1" customWidth="1"/>
    <col min="26" max="26" width="22.6640625" style="17" customWidth="1"/>
    <col min="27" max="27" width="14" style="17" bestFit="1" customWidth="1"/>
    <col min="28" max="16384" width="13.83203125" style="17"/>
  </cols>
  <sheetData>
    <row r="1" spans="1:23">
      <c r="D1" s="18"/>
    </row>
    <row r="2" spans="1:23">
      <c r="D2" s="18"/>
    </row>
    <row r="3" spans="1:23">
      <c r="D3" s="18" t="s">
        <v>144</v>
      </c>
      <c r="E3" s="14">
        <f>pipeline_length</f>
        <v>70000</v>
      </c>
      <c r="F3" s="14" t="s">
        <v>2</v>
      </c>
    </row>
    <row r="4" spans="1:23">
      <c r="D4" s="18" t="s">
        <v>174</v>
      </c>
      <c r="E4" s="14">
        <f>design_flow_rate</f>
        <v>0.7</v>
      </c>
      <c r="F4" s="14" t="s">
        <v>5</v>
      </c>
    </row>
    <row r="5" spans="1:23">
      <c r="D5" s="18" t="s">
        <v>222</v>
      </c>
      <c r="E5" s="14">
        <f>fluid_density</f>
        <v>1030</v>
      </c>
    </row>
    <row r="6" spans="1:23">
      <c r="D6" s="18" t="s">
        <v>123</v>
      </c>
      <c r="E6" s="14">
        <f>Elevation_change</f>
        <v>1000</v>
      </c>
      <c r="F6" s="14" t="s">
        <v>2</v>
      </c>
    </row>
    <row r="7" spans="1:23">
      <c r="D7" s="18" t="s">
        <v>14</v>
      </c>
      <c r="E7" s="14">
        <f>pump_efficiency</f>
        <v>0.82</v>
      </c>
    </row>
    <row r="8" spans="1:23">
      <c r="D8" s="18" t="s">
        <v>84</v>
      </c>
      <c r="E8" s="14">
        <f>annual_hours_operation_h_yr</f>
        <v>8400</v>
      </c>
      <c r="F8" s="14" t="s">
        <v>187</v>
      </c>
    </row>
    <row r="9" spans="1:23">
      <c r="A9" s="17"/>
      <c r="B9" s="17"/>
      <c r="D9" s="18" t="s">
        <v>221</v>
      </c>
      <c r="E9" s="14">
        <f>electrical_energy_usd_mwh</f>
        <v>175</v>
      </c>
      <c r="F9" s="14" t="s">
        <v>147</v>
      </c>
    </row>
    <row r="10" spans="1:23">
      <c r="D10" s="18" t="s">
        <v>221</v>
      </c>
      <c r="E10" s="14">
        <f>Projected_MWh/1000</f>
        <v>0.17499999999999999</v>
      </c>
      <c r="F10" s="14" t="s">
        <v>112</v>
      </c>
    </row>
    <row r="11" spans="1:23">
      <c r="D11" s="18" t="s">
        <v>221</v>
      </c>
      <c r="E11" s="14">
        <f>Projected_kWh/1000</f>
        <v>1.75E-4</v>
      </c>
      <c r="F11" s="14" t="s">
        <v>228</v>
      </c>
    </row>
    <row r="12" spans="1:23">
      <c r="D12" s="18" t="s">
        <v>227</v>
      </c>
      <c r="E12" s="124">
        <f ca="1">bare_electricity_yr_1+K20</f>
        <v>15875669.631495308</v>
      </c>
    </row>
    <row r="15" spans="1:23" s="69" customFormat="1">
      <c r="A15" s="65" t="str">
        <f>" Analyzed case: Bare. Initial wall thickness = "&amp;ROUND(13.28,2)&amp;" mm; year 25 wall thickness = "&amp;ROUND(D44,2)&amp;" mm. Initial pipe roughness = "&amp;ROUND(B20,2)&amp;" mm; year 25 pipe roughness = "&amp;ROUND(B44,2)&amp;" mm. Fixed parameters: Elevation head = "&amp;Elevation_change&amp;" m; pump efficiency = "&amp;pump_efficiency_percentage&amp;"%; energy cost = "&amp;Projected_MWh&amp;" $/MWh; outside diameter = "&amp;outside_diameter_inches&amp;"''; flow rate = "&amp;design_flow_rate_l_s&amp;" L/s; density of water = "&amp;fluid_density&amp;" kg/m3; viscosity of water = "&amp;dynamic_viscosity_of_water&amp;" Pa·s"</f>
        <v xml:space="preserve"> Analyzed case: Bare. Initial wall thickness = 13.28 mm; year 25 wall thickness = 9.53 mm. Initial pipe roughness = 0.07 mm; year 25 pipe roughness = 0.72 mm. Fixed parameters: Elevation head = 1000 m; pump efficiency = 82%; energy cost = 175 $/MWh; outside diameter = 28''; flow rate = 700 L/s; density of water = 1030 kg/m3; viscosity of water = 0.0013 Pa·s</v>
      </c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8"/>
    </row>
    <row r="16" spans="1:23" s="69" customFormat="1">
      <c r="A16" s="65" t="str">
        <f>" Analyzed case: Coated. Initial wall thickness = "&amp;ROUND(D48,2)&amp;" mm; year 25 wall thickness = "&amp;ROUND(D72,2)&amp;" mm. Initial pipe roughness = "&amp;ROUND(B48,2)&amp;" mm; year 25 pipe roughness = "&amp;ROUND(B72,2)&amp;" mm. Fixed parameters: Elevation head = "&amp;Elevation_change&amp;" m; pump efficiency = "&amp;pump_efficiency_percentage&amp;"%; energy cost = "&amp;Projected_MWh&amp;" $/kWh; outside diameter = "&amp;outside_diameter_inches&amp;"''; flow rate = "&amp;design_flow_rate_l_s&amp;" L/s; density of water = "&amp;fluid_density&amp;" kg/m3; viscosity of water = "&amp;dynamic_viscosity_of_water&amp;" Pa·s"</f>
        <v xml:space="preserve"> Analyzed case: Coated. Initial wall thickness = 9.53 mm; year 25 wall thickness = 9.53 mm. Initial pipe roughness = 0.02 mm; year 25 pipe roughness = 0.04 mm. Fixed parameters: Elevation head = 1000 m; pump efficiency = 82%; energy cost = 175 $/kWh; outside diameter = 28''; flow rate = 700 L/s; density of water = 1030 kg/m3; viscosity of water = 0.0013 Pa·s</v>
      </c>
      <c r="B16" s="66"/>
      <c r="C16" s="66"/>
      <c r="D16" s="66"/>
      <c r="E16" s="66"/>
      <c r="F16" s="66"/>
      <c r="G16" s="66"/>
      <c r="H16" s="66"/>
      <c r="I16" s="66"/>
      <c r="J16" s="66"/>
      <c r="K16" s="66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8"/>
    </row>
    <row r="19" spans="1:30" s="20" customFormat="1" ht="43" customHeight="1">
      <c r="A19" s="61" t="s">
        <v>75</v>
      </c>
      <c r="B19" s="61" t="s">
        <v>77</v>
      </c>
      <c r="C19" s="61" t="s">
        <v>79</v>
      </c>
      <c r="D19" s="61" t="s">
        <v>102</v>
      </c>
      <c r="E19" s="61" t="s">
        <v>106</v>
      </c>
      <c r="F19" s="61" t="s">
        <v>124</v>
      </c>
      <c r="G19" s="61" t="s">
        <v>74</v>
      </c>
      <c r="H19" s="61" t="s">
        <v>122</v>
      </c>
      <c r="I19" s="61" t="s">
        <v>121</v>
      </c>
      <c r="J19" s="121" t="s">
        <v>125</v>
      </c>
      <c r="K19" s="121" t="s">
        <v>126</v>
      </c>
      <c r="L19" s="62" t="s">
        <v>80</v>
      </c>
      <c r="M19" s="19" t="s">
        <v>107</v>
      </c>
      <c r="N19" s="19" t="s">
        <v>73</v>
      </c>
      <c r="O19" s="19" t="s">
        <v>108</v>
      </c>
      <c r="P19" s="19" t="s">
        <v>76</v>
      </c>
      <c r="Q19" s="19" t="s">
        <v>81</v>
      </c>
      <c r="R19" s="62" t="s">
        <v>78</v>
      </c>
      <c r="S19" s="62" t="s">
        <v>110</v>
      </c>
      <c r="T19" s="19" t="s">
        <v>100</v>
      </c>
      <c r="U19" s="19" t="s">
        <v>103</v>
      </c>
      <c r="V19" s="19" t="s">
        <v>104</v>
      </c>
      <c r="W19" s="19" t="s">
        <v>105</v>
      </c>
      <c r="X19" s="64"/>
      <c r="Y19" s="64" t="s">
        <v>115</v>
      </c>
      <c r="Z19" s="20" t="s">
        <v>1</v>
      </c>
      <c r="AA19" s="21">
        <f>A20</f>
        <v>1</v>
      </c>
    </row>
    <row r="20" spans="1:30" s="18" customFormat="1">
      <c r="A20" s="22">
        <v>1</v>
      </c>
      <c r="B20" s="23">
        <f t="shared" ref="B20:B44" si="0">P20*1000</f>
        <v>6.8000000000000005E-2</v>
      </c>
      <c r="C20" s="24">
        <f t="shared" ref="C20:C44" si="1">O20*1000</f>
        <v>684.64</v>
      </c>
      <c r="D20" s="25">
        <f t="shared" ref="D20:D44" si="2">N20*1000</f>
        <v>13.28</v>
      </c>
      <c r="E20" s="24">
        <f t="shared" ref="E20:E44" si="3">T20/(PI()*(O20/2)^2)</f>
        <v>1.9014443545059785</v>
      </c>
      <c r="F20" s="26">
        <f ca="1">1/(-2*LOG10((P20/O20)/3.7 + 2.51/(Q20*SQRT(F20+1E-300))))^2</f>
        <v>1.3396264738380228E-2</v>
      </c>
      <c r="G20" s="27">
        <f ca="1">(F20 * pipeline_length * E20^2 ) / (2*gravitational_acceleration * O20)</f>
        <v>252.4852789866699</v>
      </c>
      <c r="H20" s="28">
        <f ca="1">(S20*gravitational_acceleration*T20*(G20)/(pump_efficiency))/1000</f>
        <v>2177.0988570815921</v>
      </c>
      <c r="I20" s="28">
        <f>(S20*gravitational_acceleration*T20*(Elevation_change)/(pump_efficiency))/1000</f>
        <v>8622.6764024390268</v>
      </c>
      <c r="J20" s="125">
        <f ca="1">H20*Projected_kWh*annual_hours_operation_h_yr</f>
        <v>3200335.31990994</v>
      </c>
      <c r="K20" s="125">
        <f>I20*Projected_kWh*annual_hours_operation_h_yr</f>
        <v>12675334.311585369</v>
      </c>
      <c r="L20" s="29">
        <f>dynamic_viscosity_of_water</f>
        <v>1.2999999999999999E-3</v>
      </c>
      <c r="M20" s="15">
        <f>outside_diameter</f>
        <v>0.71120000000000005</v>
      </c>
      <c r="N20" s="117">
        <f>bare_wall__yr_1_mm/1000</f>
        <v>1.328E-2</v>
      </c>
      <c r="O20" s="119">
        <f t="shared" ref="O20:O44" si="4">M20-2*N20</f>
        <v>0.68464000000000003</v>
      </c>
      <c r="P20" s="117">
        <f>roughness_bare_yr_1_mm/1000</f>
        <v>6.7999999999999999E-5</v>
      </c>
      <c r="Q20" s="109">
        <f>S20*E20*O20/L20</f>
        <v>1031430.0067346479</v>
      </c>
      <c r="R20" s="29">
        <f t="shared" ref="R20:R44" si="5">T20*1000</f>
        <v>700</v>
      </c>
      <c r="S20" s="29">
        <f>fluid_density</f>
        <v>1030</v>
      </c>
      <c r="T20" s="15">
        <f t="shared" ref="T20:T44" si="6">design_flow_rate</f>
        <v>0.7</v>
      </c>
      <c r="U20" s="33">
        <f ca="1">1/SQRT(F20)</f>
        <v>8.6398885279520368</v>
      </c>
      <c r="V20" s="33">
        <f ca="1">-2 *LOG10(((P20) / (3.7 *O20)) + (2.51 / (Q20* SQRT(F20))))</f>
        <v>8.6398885279520368</v>
      </c>
      <c r="W20" s="34">
        <f t="shared" ref="W20:W44" ca="1" si="7">V20-U20</f>
        <v>0</v>
      </c>
      <c r="X20" s="35"/>
      <c r="AB20" s="17"/>
      <c r="AC20" s="17"/>
      <c r="AD20" s="17"/>
    </row>
    <row r="21" spans="1:30">
      <c r="A21" s="22">
        <v>2</v>
      </c>
      <c r="B21" s="23">
        <f t="shared" si="0"/>
        <v>9.5166666666666663E-2</v>
      </c>
      <c r="C21" s="24">
        <f t="shared" si="1"/>
        <v>684.9525000000001</v>
      </c>
      <c r="D21" s="25">
        <f t="shared" si="2"/>
        <v>13.123749999999999</v>
      </c>
      <c r="E21" s="24">
        <f t="shared" si="3"/>
        <v>1.8997097354988144</v>
      </c>
      <c r="F21" s="26">
        <f ca="1">1/(-2*LOG10((P21/O21)/3.7 + 2.51/(Q21*SQRT(F21+1E-300))))^2</f>
        <v>1.3937251555253943E-2</v>
      </c>
      <c r="G21" s="27">
        <f ca="1">(F21 * pipeline_length * E21^2 ) / (2*gravitational_acceleration * O21)</f>
        <v>262.08281760782285</v>
      </c>
      <c r="H21" s="28">
        <f ca="1">(S21*gravitational_acceleration*T21*(G21)/(pump_efficiency))/1000</f>
        <v>2259.8553268717046</v>
      </c>
      <c r="I21" s="28">
        <f>(S21*gravitational_acceleration*T21*(Elevation_change)/(pump_efficiency))/1000</f>
        <v>8622.6764024390268</v>
      </c>
      <c r="J21" s="125">
        <f ca="1">H21*Projected_kWh*annual_hours_operation_h_yr</f>
        <v>3321987.330501406</v>
      </c>
      <c r="K21" s="125">
        <f>I21*Projected_kWh*annual_hours_operation_h_yr</f>
        <v>12675334.311585369</v>
      </c>
      <c r="L21" s="29">
        <f>dynamic_viscosity_of_water</f>
        <v>1.2999999999999999E-3</v>
      </c>
      <c r="M21" s="15">
        <f>outside_diameter</f>
        <v>0.71120000000000005</v>
      </c>
      <c r="N21" s="31">
        <f>N20-(N$20-N$44)/24</f>
        <v>1.312375E-2</v>
      </c>
      <c r="O21" s="32">
        <f t="shared" si="4"/>
        <v>0.68495250000000008</v>
      </c>
      <c r="P21" s="31">
        <f t="shared" ref="P21:P43" si="8">P20-(P$20-P$44)/24</f>
        <v>9.5166666666666658E-5</v>
      </c>
      <c r="Q21" s="109">
        <f>S21*E21*O21/L21</f>
        <v>1030959.4312172149</v>
      </c>
      <c r="R21" s="29">
        <f t="shared" si="5"/>
        <v>700</v>
      </c>
      <c r="S21" s="29">
        <f>fluid_density</f>
        <v>1030</v>
      </c>
      <c r="T21" s="15">
        <f t="shared" si="6"/>
        <v>0.7</v>
      </c>
      <c r="U21" s="33">
        <f ca="1">1/SQRT(F21)</f>
        <v>8.4705464945113231</v>
      </c>
      <c r="V21" s="33">
        <f ca="1">-2 *LOG10(((P21) / (3.7 *O21)) + (2.51 / (Q21* SQRT(F21))))</f>
        <v>8.4705464945113231</v>
      </c>
      <c r="W21" s="34">
        <f t="shared" ca="1" si="7"/>
        <v>0</v>
      </c>
      <c r="X21" s="35"/>
      <c r="Y21" s="35"/>
      <c r="Z21" s="18" t="s">
        <v>88</v>
      </c>
      <c r="AA21" s="17">
        <f>S20</f>
        <v>1030</v>
      </c>
      <c r="AB21" s="17" t="s">
        <v>85</v>
      </c>
      <c r="AC21" s="17" t="s">
        <v>65</v>
      </c>
    </row>
    <row r="22" spans="1:30">
      <c r="A22" s="22">
        <v>3</v>
      </c>
      <c r="B22" s="23">
        <f t="shared" si="0"/>
        <v>0.12233333333333332</v>
      </c>
      <c r="C22" s="24">
        <f t="shared" si="1"/>
        <v>685.26499999999999</v>
      </c>
      <c r="D22" s="25">
        <f t="shared" si="2"/>
        <v>12.967499999999999</v>
      </c>
      <c r="E22" s="24">
        <f t="shared" si="3"/>
        <v>1.8979774890548102</v>
      </c>
      <c r="F22" s="26">
        <f ca="1">1/(-2*LOG10((P22/O22)/3.7 + 2.51/(Q22*SQRT(F22+1E-300))))^2</f>
        <v>1.4417792839917344E-2</v>
      </c>
      <c r="G22" s="27">
        <f ca="1">(F22 * pipeline_length * E22^2 ) / (2*gravitational_acceleration * O22)</f>
        <v>270.50152229638547</v>
      </c>
      <c r="H22" s="28">
        <f ca="1">(S22*gravitational_acceleration*T22*(G22)/(pump_efficiency))/1000</f>
        <v>2332.447093128877</v>
      </c>
      <c r="I22" s="28">
        <f>(S22*gravitational_acceleration*T22*(Elevation_change)/(pump_efficiency))/1000</f>
        <v>8622.6764024390268</v>
      </c>
      <c r="J22" s="125">
        <f ca="1">H22*Projected_kWh*annual_hours_operation_h_yr</f>
        <v>3428697.2268994488</v>
      </c>
      <c r="K22" s="125">
        <f>I22*Projected_kWh*annual_hours_operation_h_yr</f>
        <v>12675334.311585369</v>
      </c>
      <c r="L22" s="29">
        <f>dynamic_viscosity_of_water</f>
        <v>1.2999999999999999E-3</v>
      </c>
      <c r="M22" s="15">
        <f>outside_diameter</f>
        <v>0.71120000000000005</v>
      </c>
      <c r="N22" s="31">
        <f t="shared" ref="N22:N43" si="9">N21-($N$20-$N$44)/24</f>
        <v>1.29675E-2</v>
      </c>
      <c r="O22" s="32">
        <f t="shared" si="4"/>
        <v>0.68526500000000001</v>
      </c>
      <c r="P22" s="31">
        <f t="shared" si="8"/>
        <v>1.2233333333333332E-4</v>
      </c>
      <c r="Q22" s="109">
        <f>S22*E22*O22/L22</f>
        <v>1030489.2848909684</v>
      </c>
      <c r="R22" s="29">
        <f t="shared" si="5"/>
        <v>700</v>
      </c>
      <c r="S22" s="29">
        <f>fluid_density</f>
        <v>1030</v>
      </c>
      <c r="T22" s="15">
        <f t="shared" si="6"/>
        <v>0.7</v>
      </c>
      <c r="U22" s="33">
        <f ca="1">1/SQRT(F22)</f>
        <v>8.3281897083139</v>
      </c>
      <c r="V22" s="33">
        <f ca="1">-2 *LOG10(((P22) / (3.7 *O22)) + (2.51 / (Q22* SQRT(F22))))</f>
        <v>8.3281897083139</v>
      </c>
      <c r="W22" s="34">
        <f t="shared" ca="1" si="7"/>
        <v>0</v>
      </c>
      <c r="X22" s="35"/>
      <c r="Y22" s="35">
        <f>design_flow_rate</f>
        <v>0.7</v>
      </c>
      <c r="Z22" s="18" t="s">
        <v>89</v>
      </c>
      <c r="AA22" s="36">
        <f>T20</f>
        <v>0.7</v>
      </c>
      <c r="AB22" s="17" t="s">
        <v>86</v>
      </c>
      <c r="AC22" s="17" t="s">
        <v>99</v>
      </c>
    </row>
    <row r="23" spans="1:30">
      <c r="A23" s="22">
        <v>4</v>
      </c>
      <c r="B23" s="23">
        <f t="shared" si="0"/>
        <v>0.14949999999999997</v>
      </c>
      <c r="C23" s="24">
        <f t="shared" si="1"/>
        <v>685.5775000000001</v>
      </c>
      <c r="D23" s="25">
        <f t="shared" si="2"/>
        <v>12.811249999999999</v>
      </c>
      <c r="E23" s="24">
        <f t="shared" si="3"/>
        <v>1.8962476108491029</v>
      </c>
      <c r="F23" s="26">
        <f ca="1">1/(-2*LOG10((P23/O23)/3.7 + 2.51/(Q23*SQRT(F23+1E-300))))^2</f>
        <v>1.4852185839743759E-2</v>
      </c>
      <c r="G23" s="27">
        <f ca="1">(F23 * pipeline_length * E23^2 ) / (2*gravitational_acceleration * O23)</f>
        <v>278.01695393790766</v>
      </c>
      <c r="H23" s="28">
        <f ca="1">(S23*gravitational_acceleration*T23*(G23)/(pump_efficiency))/1000</f>
        <v>2397.2502281983739</v>
      </c>
      <c r="I23" s="28">
        <f>(S23*gravitational_acceleration*T23*(Elevation_change)/(pump_efficiency))/1000</f>
        <v>8622.6764024390268</v>
      </c>
      <c r="J23" s="125">
        <f ca="1">H23*Projected_kWh*annual_hours_operation_h_yr</f>
        <v>3523957.8354516095</v>
      </c>
      <c r="K23" s="125">
        <f>I23*Projected_kWh*annual_hours_operation_h_yr</f>
        <v>12675334.311585369</v>
      </c>
      <c r="L23" s="29">
        <f>dynamic_viscosity_of_water</f>
        <v>1.2999999999999999E-3</v>
      </c>
      <c r="M23" s="15">
        <f>outside_diameter</f>
        <v>0.71120000000000005</v>
      </c>
      <c r="N23" s="31">
        <f t="shared" si="9"/>
        <v>1.281125E-2</v>
      </c>
      <c r="O23" s="32">
        <f t="shared" si="4"/>
        <v>0.68557750000000006</v>
      </c>
      <c r="P23" s="31">
        <f t="shared" si="8"/>
        <v>1.4949999999999997E-4</v>
      </c>
      <c r="Q23" s="109">
        <f>S23*E23*O23/L23</f>
        <v>1030019.5671690061</v>
      </c>
      <c r="R23" s="29">
        <f t="shared" si="5"/>
        <v>700</v>
      </c>
      <c r="S23" s="29">
        <f>fluid_density</f>
        <v>1030</v>
      </c>
      <c r="T23" s="15">
        <f t="shared" si="6"/>
        <v>0.7</v>
      </c>
      <c r="U23" s="33">
        <f ca="1">1/SQRT(F23)</f>
        <v>8.205495518546309</v>
      </c>
      <c r="V23" s="33">
        <f ca="1">-2 *LOG10(((P23) / (3.7 *O23)) + (2.51 / (Q23* SQRT(F23))))</f>
        <v>8.205495518546309</v>
      </c>
      <c r="W23" s="34">
        <f t="shared" ca="1" si="7"/>
        <v>0</v>
      </c>
      <c r="X23" s="35"/>
      <c r="Y23" s="35"/>
      <c r="Z23" s="18" t="s">
        <v>90</v>
      </c>
      <c r="AA23" s="36">
        <f>L20</f>
        <v>1.2999999999999999E-3</v>
      </c>
      <c r="AB23" s="17" t="s">
        <v>87</v>
      </c>
    </row>
    <row r="24" spans="1:30">
      <c r="A24" s="22">
        <v>5</v>
      </c>
      <c r="B24" s="23">
        <f t="shared" si="0"/>
        <v>0.17666666666666664</v>
      </c>
      <c r="C24" s="24">
        <f t="shared" si="1"/>
        <v>685.8900000000001</v>
      </c>
      <c r="D24" s="25">
        <f t="shared" si="2"/>
        <v>12.654999999999999</v>
      </c>
      <c r="E24" s="24">
        <f t="shared" si="3"/>
        <v>1.894520096566682</v>
      </c>
      <c r="F24" s="26">
        <f ca="1">1/(-2*LOG10((P24/O24)/3.7 + 2.51/(Q24*SQRT(F24+1E-300))))^2</f>
        <v>1.5250050163666661E-2</v>
      </c>
      <c r="G24" s="27">
        <f ca="1">(F24 * pipeline_length * E24^2 ) / (2*gravitational_acceleration * O24)</f>
        <v>284.81483275421743</v>
      </c>
      <c r="H24" s="28">
        <f ca="1">(S24*gravitational_acceleration*T24*(G24)/(pump_efficiency))/1000</f>
        <v>2455.8661374544081</v>
      </c>
      <c r="I24" s="28">
        <f>(S24*gravitational_acceleration*T24*(Elevation_change)/(pump_efficiency))/1000</f>
        <v>8622.6764024390268</v>
      </c>
      <c r="J24" s="125">
        <f ca="1">H24*Projected_kWh*annual_hours_operation_h_yr</f>
        <v>3610123.22205798</v>
      </c>
      <c r="K24" s="125">
        <f>I24*Projected_kWh*annual_hours_operation_h_yr</f>
        <v>12675334.311585369</v>
      </c>
      <c r="L24" s="29">
        <f>dynamic_viscosity_of_water</f>
        <v>1.2999999999999999E-3</v>
      </c>
      <c r="M24" s="15">
        <f>outside_diameter</f>
        <v>0.71120000000000005</v>
      </c>
      <c r="N24" s="31">
        <f t="shared" si="9"/>
        <v>1.2655E-2</v>
      </c>
      <c r="O24" s="32">
        <f t="shared" si="4"/>
        <v>0.68589000000000011</v>
      </c>
      <c r="P24" s="31">
        <f t="shared" si="8"/>
        <v>1.7666666666666663E-4</v>
      </c>
      <c r="Q24" s="109">
        <f>S24*E24*O24/L24</f>
        <v>1029550.2774654964</v>
      </c>
      <c r="R24" s="29">
        <f t="shared" si="5"/>
        <v>700</v>
      </c>
      <c r="S24" s="29">
        <f>fluid_density</f>
        <v>1030</v>
      </c>
      <c r="T24" s="15">
        <f t="shared" si="6"/>
        <v>0.7</v>
      </c>
      <c r="U24" s="33">
        <f ca="1">1/SQRT(F24)</f>
        <v>8.0977499833466418</v>
      </c>
      <c r="V24" s="33">
        <f ca="1">-2 *LOG10(((P24) / (3.7 *O24)) + (2.51 / (Q24* SQRT(F24))))</f>
        <v>8.0977499833466435</v>
      </c>
      <c r="W24" s="34">
        <f t="shared" ca="1" si="7"/>
        <v>0</v>
      </c>
      <c r="X24" s="35"/>
      <c r="Y24" s="35"/>
      <c r="Z24" s="18" t="s">
        <v>91</v>
      </c>
      <c r="AA24" s="36">
        <f>M20</f>
        <v>0.71120000000000005</v>
      </c>
      <c r="AB24" s="17" t="s">
        <v>2</v>
      </c>
    </row>
    <row r="25" spans="1:30">
      <c r="A25" s="22">
        <v>6</v>
      </c>
      <c r="B25" s="23">
        <f t="shared" si="0"/>
        <v>0.20383333333333328</v>
      </c>
      <c r="C25" s="24">
        <f t="shared" si="1"/>
        <v>686.2025000000001</v>
      </c>
      <c r="D25" s="25">
        <f t="shared" si="2"/>
        <v>12.498749999999999</v>
      </c>
      <c r="E25" s="24">
        <f t="shared" si="3"/>
        <v>1.8927949419023589</v>
      </c>
      <c r="F25" s="26">
        <f ca="1">1/(-2*LOG10((P25/O25)/3.7 + 2.51/(Q25*SQRT(F25+1E-300))))^2</f>
        <v>1.5618187745167487E-2</v>
      </c>
      <c r="G25" s="27">
        <f ca="1">(F25 * pipeline_length * E25^2 ) / (2*gravitational_acceleration * O25)</f>
        <v>291.02670711169071</v>
      </c>
      <c r="H25" s="28">
        <f ca="1">(S25*gravitational_acceleration*T25*(G25)/(pump_efficiency))/1000</f>
        <v>2509.4291198915089</v>
      </c>
      <c r="I25" s="28">
        <f>(S25*gravitational_acceleration*T25*(Elevation_change)/(pump_efficiency))/1000</f>
        <v>8622.6764024390268</v>
      </c>
      <c r="J25" s="125">
        <f ca="1">H25*Projected_kWh*annual_hours_operation_h_yr</f>
        <v>3688860.8062405176</v>
      </c>
      <c r="K25" s="125">
        <f>I25*Projected_kWh*annual_hours_operation_h_yr</f>
        <v>12675334.311585369</v>
      </c>
      <c r="L25" s="29">
        <f>dynamic_viscosity_of_water</f>
        <v>1.2999999999999999E-3</v>
      </c>
      <c r="M25" s="15">
        <f>outside_diameter</f>
        <v>0.71120000000000005</v>
      </c>
      <c r="N25" s="31">
        <f t="shared" si="9"/>
        <v>1.2498749999999999E-2</v>
      </c>
      <c r="O25" s="32">
        <f t="shared" si="4"/>
        <v>0.68620250000000005</v>
      </c>
      <c r="P25" s="31">
        <f t="shared" si="8"/>
        <v>2.0383333333333329E-4</v>
      </c>
      <c r="Q25" s="109">
        <f>S25*E25*O25/L25</f>
        <v>1029081.4151956741</v>
      </c>
      <c r="R25" s="29">
        <f t="shared" si="5"/>
        <v>700</v>
      </c>
      <c r="S25" s="29">
        <f>fluid_density</f>
        <v>1030</v>
      </c>
      <c r="T25" s="15">
        <f t="shared" si="6"/>
        <v>0.7</v>
      </c>
      <c r="U25" s="33">
        <f ca="1">1/SQRT(F25)</f>
        <v>8.0017445076913383</v>
      </c>
      <c r="V25" s="33">
        <f ca="1">-2 *LOG10(((P25) / (3.7 *O25)) + (2.51 / (Q25* SQRT(F25))))</f>
        <v>8.0017445076913383</v>
      </c>
      <c r="W25" s="34">
        <f t="shared" ca="1" si="7"/>
        <v>0</v>
      </c>
      <c r="X25" s="35"/>
      <c r="Y25" s="35"/>
      <c r="Z25" s="18" t="s">
        <v>92</v>
      </c>
      <c r="AA25" s="17">
        <f>O20</f>
        <v>0.68464000000000003</v>
      </c>
      <c r="AB25" s="17" t="s">
        <v>2</v>
      </c>
    </row>
    <row r="26" spans="1:30">
      <c r="A26" s="22">
        <v>7</v>
      </c>
      <c r="B26" s="23">
        <f t="shared" si="0"/>
        <v>0.23099999999999996</v>
      </c>
      <c r="C26" s="24">
        <f t="shared" si="1"/>
        <v>686.5150000000001</v>
      </c>
      <c r="D26" s="25">
        <f t="shared" si="2"/>
        <v>12.342499999999999</v>
      </c>
      <c r="E26" s="24">
        <f t="shared" si="3"/>
        <v>1.89107214256074</v>
      </c>
      <c r="F26" s="26">
        <f ca="1">1/(-2*LOG10((P26/O26)/3.7 + 2.51/(Q26*SQRT(F26+1E-300))))^2</f>
        <v>1.5961597855822608E-2</v>
      </c>
      <c r="G26" s="27">
        <f ca="1">(F26 * pipeline_length * E26^2 ) / (2*gravitational_acceleration * O26)</f>
        <v>296.74943238298772</v>
      </c>
      <c r="H26" s="28">
        <f ca="1">(S26*gravitational_acceleration*T26*(G26)/(pump_efficiency))/1000</f>
        <v>2558.7743280459631</v>
      </c>
      <c r="I26" s="28">
        <f>(S26*gravitational_acceleration*T26*(Elevation_change)/(pump_efficiency))/1000</f>
        <v>8622.6764024390268</v>
      </c>
      <c r="J26" s="125">
        <f ca="1">H26*Projected_kWh*annual_hours_operation_h_yr</f>
        <v>3761398.262227566</v>
      </c>
      <c r="K26" s="125">
        <f>I26*Projected_kWh*annual_hours_operation_h_yr</f>
        <v>12675334.311585369</v>
      </c>
      <c r="L26" s="29">
        <f>dynamic_viscosity_of_water</f>
        <v>1.2999999999999999E-3</v>
      </c>
      <c r="M26" s="15">
        <f>outside_diameter</f>
        <v>0.71120000000000005</v>
      </c>
      <c r="N26" s="31">
        <f t="shared" si="9"/>
        <v>1.2342499999999999E-2</v>
      </c>
      <c r="O26" s="32">
        <f t="shared" si="4"/>
        <v>0.6865150000000001</v>
      </c>
      <c r="P26" s="31">
        <f t="shared" si="8"/>
        <v>2.3099999999999995E-4</v>
      </c>
      <c r="Q26" s="109">
        <f>S26*E26*O26/L26</f>
        <v>1028612.9797758377</v>
      </c>
      <c r="R26" s="29">
        <f t="shared" si="5"/>
        <v>700</v>
      </c>
      <c r="S26" s="29">
        <f>fluid_density</f>
        <v>1030</v>
      </c>
      <c r="T26" s="15">
        <f t="shared" si="6"/>
        <v>0.7</v>
      </c>
      <c r="U26" s="33">
        <f ca="1">1/SQRT(F26)</f>
        <v>7.9151986255634279</v>
      </c>
      <c r="V26" s="33">
        <f ca="1">-2 *LOG10(((P26) / (3.7 *O26)) + (2.51 / (Q26* SQRT(F26))))</f>
        <v>7.9151986255634279</v>
      </c>
      <c r="W26" s="34">
        <f t="shared" ca="1" si="7"/>
        <v>0</v>
      </c>
      <c r="X26" s="35"/>
      <c r="Y26" s="35"/>
      <c r="Z26" s="18" t="s">
        <v>93</v>
      </c>
      <c r="AA26" s="17">
        <f>N20</f>
        <v>1.328E-2</v>
      </c>
      <c r="AB26" s="17" t="s">
        <v>2</v>
      </c>
    </row>
    <row r="27" spans="1:30">
      <c r="A27" s="22">
        <v>8</v>
      </c>
      <c r="B27" s="23">
        <f t="shared" si="0"/>
        <v>0.25816666666666666</v>
      </c>
      <c r="C27" s="24">
        <f t="shared" si="1"/>
        <v>686.82749999999999</v>
      </c>
      <c r="D27" s="25">
        <f t="shared" si="2"/>
        <v>12.186249999999999</v>
      </c>
      <c r="E27" s="24">
        <f t="shared" si="3"/>
        <v>1.8893516942562045</v>
      </c>
      <c r="F27" s="26">
        <f ca="1">1/(-2*LOG10((P27/O27)/3.7 + 2.51/(Q27*SQRT(F27+1E-300))))^2</f>
        <v>1.6284070426168574E-2</v>
      </c>
      <c r="G27" s="27">
        <f ca="1">(F27 * pipeline_length * E27^2 ) / (2*gravitational_acceleration * O27)</f>
        <v>302.05656544443548</v>
      </c>
      <c r="H27" s="28">
        <f ca="1">(S27*gravitational_acceleration*T27*(G27)/(pump_efficiency))/1000</f>
        <v>2604.5360190595129</v>
      </c>
      <c r="I27" s="28">
        <f>(S27*gravitational_acceleration*T27*(Elevation_change)/(pump_efficiency))/1000</f>
        <v>8622.6764024390268</v>
      </c>
      <c r="J27" s="125">
        <f ca="1">H27*Projected_kWh*annual_hours_operation_h_yr</f>
        <v>3828667.9480174836</v>
      </c>
      <c r="K27" s="125">
        <f>I27*Projected_kWh*annual_hours_operation_h_yr</f>
        <v>12675334.311585369</v>
      </c>
      <c r="L27" s="29">
        <f>dynamic_viscosity_of_water</f>
        <v>1.2999999999999999E-3</v>
      </c>
      <c r="M27" s="15">
        <f>outside_diameter</f>
        <v>0.71120000000000005</v>
      </c>
      <c r="N27" s="31">
        <f t="shared" si="9"/>
        <v>1.2186249999999999E-2</v>
      </c>
      <c r="O27" s="32">
        <f t="shared" si="4"/>
        <v>0.68682750000000004</v>
      </c>
      <c r="P27" s="31">
        <f t="shared" si="8"/>
        <v>2.5816666666666664E-4</v>
      </c>
      <c r="Q27" s="109">
        <f>S27*E27*O27/L27</f>
        <v>1028144.9706233508</v>
      </c>
      <c r="R27" s="29">
        <f t="shared" si="5"/>
        <v>700</v>
      </c>
      <c r="S27" s="29">
        <f>fluid_density</f>
        <v>1030</v>
      </c>
      <c r="T27" s="15">
        <f t="shared" si="6"/>
        <v>0.7</v>
      </c>
      <c r="U27" s="33">
        <f ca="1">1/SQRT(F27)</f>
        <v>7.8364346096082107</v>
      </c>
      <c r="V27" s="33">
        <f ca="1">-2 *LOG10(((P27) / (3.7 *O27)) + (2.51 / (Q27* SQRT(F27))))</f>
        <v>7.8364346096082107</v>
      </c>
      <c r="W27" s="34">
        <f t="shared" ca="1" si="7"/>
        <v>0</v>
      </c>
      <c r="X27" s="35"/>
      <c r="Y27" s="35"/>
      <c r="Z27" s="18" t="s">
        <v>94</v>
      </c>
      <c r="AA27" s="36">
        <f>P20</f>
        <v>6.7999999999999999E-5</v>
      </c>
      <c r="AB27" s="17" t="s">
        <v>2</v>
      </c>
    </row>
    <row r="28" spans="1:30">
      <c r="A28" s="22">
        <v>9</v>
      </c>
      <c r="B28" s="23">
        <f t="shared" si="0"/>
        <v>0.28533333333333327</v>
      </c>
      <c r="C28" s="24">
        <f t="shared" si="1"/>
        <v>687.1400000000001</v>
      </c>
      <c r="D28" s="25">
        <f t="shared" si="2"/>
        <v>12.03</v>
      </c>
      <c r="E28" s="24">
        <f t="shared" si="3"/>
        <v>1.8876335927128711</v>
      </c>
      <c r="F28" s="26">
        <f ca="1">1/(-2*LOG10((P28/O28)/3.7 + 2.51/(Q28*SQRT(F28+1E-300))))^2</f>
        <v>1.6588552355868553E-2</v>
      </c>
      <c r="G28" s="27">
        <f ca="1">(F28 * pipeline_length * E28^2 ) / (2*gravitational_acceleration * O28)</f>
        <v>307.00540468717116</v>
      </c>
      <c r="H28" s="28">
        <f ca="1">(S28*gravitational_acceleration*T28*(G28)/(pump_efficiency))/1000</f>
        <v>2647.2082584173145</v>
      </c>
      <c r="I28" s="28">
        <f>(S28*gravitational_acceleration*T28*(Elevation_change)/(pump_efficiency))/1000</f>
        <v>8622.6764024390268</v>
      </c>
      <c r="J28" s="125">
        <f ca="1">H28*Projected_kWh*annual_hours_operation_h_yr</f>
        <v>3891396.139873452</v>
      </c>
      <c r="K28" s="125">
        <f>I28*Projected_kWh*annual_hours_operation_h_yr</f>
        <v>12675334.311585369</v>
      </c>
      <c r="L28" s="29">
        <f>dynamic_viscosity_of_water</f>
        <v>1.2999999999999999E-3</v>
      </c>
      <c r="M28" s="15">
        <f>outside_diameter</f>
        <v>0.71120000000000005</v>
      </c>
      <c r="N28" s="31">
        <f t="shared" si="9"/>
        <v>1.2029999999999999E-2</v>
      </c>
      <c r="O28" s="32">
        <f t="shared" si="4"/>
        <v>0.68714000000000008</v>
      </c>
      <c r="P28" s="31">
        <f t="shared" si="8"/>
        <v>2.8533333333333329E-4</v>
      </c>
      <c r="Q28" s="109">
        <f>S28*E28*O28/L28</f>
        <v>1027677.387156634</v>
      </c>
      <c r="R28" s="29">
        <f t="shared" si="5"/>
        <v>700</v>
      </c>
      <c r="S28" s="29">
        <f>fluid_density</f>
        <v>1030</v>
      </c>
      <c r="T28" s="15">
        <f t="shared" si="6"/>
        <v>0.7</v>
      </c>
      <c r="U28" s="33">
        <f ca="1">1/SQRT(F28)</f>
        <v>7.7641828754785251</v>
      </c>
      <c r="V28" s="33">
        <f ca="1">-2 *LOG10(((P28) / (3.7 *O28)) + (2.51 / (Q28* SQRT(F28))))</f>
        <v>7.764182875478526</v>
      </c>
      <c r="W28" s="34">
        <f t="shared" ca="1" si="7"/>
        <v>0</v>
      </c>
      <c r="X28" s="35"/>
      <c r="Y28" s="35"/>
      <c r="Z28" s="18" t="s">
        <v>95</v>
      </c>
      <c r="AA28" s="36">
        <f>E20</f>
        <v>1.9014443545059785</v>
      </c>
      <c r="AB28" s="17" t="s">
        <v>26</v>
      </c>
    </row>
    <row r="29" spans="1:30">
      <c r="A29" s="22">
        <v>10</v>
      </c>
      <c r="B29" s="23">
        <f t="shared" si="0"/>
        <v>0.31249999999999994</v>
      </c>
      <c r="C29" s="24">
        <f t="shared" si="1"/>
        <v>687.45249999999999</v>
      </c>
      <c r="D29" s="25">
        <f t="shared" si="2"/>
        <v>11.873749999999999</v>
      </c>
      <c r="E29" s="24">
        <f t="shared" si="3"/>
        <v>1.8859178336645772</v>
      </c>
      <c r="F29" s="26">
        <f ca="1">1/(-2*LOG10((P29/O29)/3.7 + 2.51/(Q29*SQRT(F29+1E-300))))^2</f>
        <v>1.6877383969230612E-2</v>
      </c>
      <c r="G29" s="27">
        <f ca="1">(F29 * pipeline_length * E29^2 ) / (2*gravitational_acceleration * O29)</f>
        <v>311.64153776922313</v>
      </c>
      <c r="H29" s="28">
        <f ca="1">(S29*gravitational_acceleration*T29*(G29)/(pump_efficiency))/1000</f>
        <v>2687.1841337424903</v>
      </c>
      <c r="I29" s="28">
        <f>(S29*gravitational_acceleration*T29*(Elevation_change)/(pump_efficiency))/1000</f>
        <v>8622.6764024390268</v>
      </c>
      <c r="J29" s="125">
        <f ca="1">H29*Projected_kWh*annual_hours_operation_h_yr</f>
        <v>3950160.6766014602</v>
      </c>
      <c r="K29" s="125">
        <f>I29*Projected_kWh*annual_hours_operation_h_yr</f>
        <v>12675334.311585369</v>
      </c>
      <c r="L29" s="29">
        <f>dynamic_viscosity_of_water</f>
        <v>1.2999999999999999E-3</v>
      </c>
      <c r="M29" s="15">
        <f>outside_diameter</f>
        <v>0.71120000000000005</v>
      </c>
      <c r="N29" s="31">
        <f t="shared" si="9"/>
        <v>1.1873749999999999E-2</v>
      </c>
      <c r="O29" s="32">
        <f t="shared" si="4"/>
        <v>0.68745250000000002</v>
      </c>
      <c r="P29" s="31">
        <f t="shared" si="8"/>
        <v>3.1249999999999995E-4</v>
      </c>
      <c r="Q29" s="109">
        <f>S29*E29*O29/L29</f>
        <v>1027210.2287951668</v>
      </c>
      <c r="R29" s="29">
        <f t="shared" si="5"/>
        <v>700</v>
      </c>
      <c r="S29" s="29">
        <f>fluid_density</f>
        <v>1030</v>
      </c>
      <c r="T29" s="15">
        <f t="shared" si="6"/>
        <v>0.7</v>
      </c>
      <c r="U29" s="33">
        <f ca="1">1/SQRT(F29)</f>
        <v>7.6974598896550921</v>
      </c>
      <c r="V29" s="33">
        <f ca="1">-2 *LOG10(((P29) / (3.7 *O29)) + (2.51 / (Q29* SQRT(F29))))</f>
        <v>7.697459889655093</v>
      </c>
      <c r="W29" s="34">
        <f t="shared" ca="1" si="7"/>
        <v>0</v>
      </c>
      <c r="X29" s="35"/>
      <c r="Y29" s="35"/>
      <c r="Z29" s="18" t="s">
        <v>82</v>
      </c>
      <c r="AA29" s="37">
        <f>Q20</f>
        <v>1031430.0067346479</v>
      </c>
      <c r="AB29" s="17" t="s">
        <v>2</v>
      </c>
    </row>
    <row r="30" spans="1:30">
      <c r="A30" s="22">
        <v>11</v>
      </c>
      <c r="B30" s="23">
        <f t="shared" si="0"/>
        <v>0.33966666666666662</v>
      </c>
      <c r="C30" s="24">
        <f t="shared" si="1"/>
        <v>687.7650000000001</v>
      </c>
      <c r="D30" s="25">
        <f t="shared" si="2"/>
        <v>11.717499999999999</v>
      </c>
      <c r="E30" s="24">
        <f t="shared" si="3"/>
        <v>1.8842044128548492</v>
      </c>
      <c r="F30" s="26">
        <f ca="1">1/(-2*LOG10((P30/O30)/3.7 + 2.51/(Q30*SQRT(F30+1E-300))))^2</f>
        <v>1.7152457400475295E-2</v>
      </c>
      <c r="G30" s="27">
        <f ca="1">(F30 * pipeline_length * E30^2 ) / (2*gravitational_acceleration * O30)</f>
        <v>316.00189013227168</v>
      </c>
      <c r="H30" s="28">
        <f ca="1">(S30*gravitational_acceleration*T30*(G30)/(pump_efficiency))/1000</f>
        <v>2724.7820411696684</v>
      </c>
      <c r="I30" s="28">
        <f>(S30*gravitational_acceleration*T30*(Elevation_change)/(pump_efficiency))/1000</f>
        <v>8622.6764024390268</v>
      </c>
      <c r="J30" s="125">
        <f ca="1">H30*Projected_kWh*annual_hours_operation_h_yr</f>
        <v>4005429.6005194127</v>
      </c>
      <c r="K30" s="125">
        <f>I30*Projected_kWh*annual_hours_operation_h_yr</f>
        <v>12675334.311585369</v>
      </c>
      <c r="L30" s="29">
        <f>dynamic_viscosity_of_water</f>
        <v>1.2999999999999999E-3</v>
      </c>
      <c r="M30" s="15">
        <f>outside_diameter</f>
        <v>0.71120000000000005</v>
      </c>
      <c r="N30" s="31">
        <f t="shared" si="9"/>
        <v>1.1717499999999999E-2</v>
      </c>
      <c r="O30" s="32">
        <f t="shared" si="4"/>
        <v>0.68776500000000007</v>
      </c>
      <c r="P30" s="31">
        <f t="shared" si="8"/>
        <v>3.3966666666666661E-4</v>
      </c>
      <c r="Q30" s="109">
        <f>S30*E30*O30/L30</f>
        <v>1026743.4949594839</v>
      </c>
      <c r="R30" s="29">
        <f t="shared" si="5"/>
        <v>700</v>
      </c>
      <c r="S30" s="29">
        <f>fluid_density</f>
        <v>1030</v>
      </c>
      <c r="T30" s="15">
        <f t="shared" si="6"/>
        <v>0.7</v>
      </c>
      <c r="U30" s="33">
        <f ca="1">1/SQRT(F30)</f>
        <v>7.6354884633614066</v>
      </c>
      <c r="V30" s="33">
        <f ca="1">-2 *LOG10(((P30) / (3.7 *O30)) + (2.51 / (Q30* SQRT(F30))))</f>
        <v>7.6354884633614075</v>
      </c>
      <c r="W30" s="34">
        <f t="shared" ca="1" si="7"/>
        <v>0</v>
      </c>
      <c r="X30" s="35"/>
      <c r="Y30" s="35"/>
      <c r="Z30" s="18" t="s">
        <v>83</v>
      </c>
      <c r="AA30" s="17">
        <f ca="1">F20</f>
        <v>1.3396264738380228E-2</v>
      </c>
    </row>
    <row r="31" spans="1:30" ht="13">
      <c r="A31" s="22">
        <v>12</v>
      </c>
      <c r="B31" s="23">
        <f t="shared" si="0"/>
        <v>0.36683333333333329</v>
      </c>
      <c r="C31" s="24">
        <f t="shared" si="1"/>
        <v>688.07749999999999</v>
      </c>
      <c r="D31" s="25">
        <f t="shared" si="2"/>
        <v>11.561249999999999</v>
      </c>
      <c r="E31" s="24">
        <f t="shared" si="3"/>
        <v>1.8824933260368772</v>
      </c>
      <c r="F31" s="26">
        <f ca="1">1/(-2*LOG10((P31/O31)/3.7 + 2.51/(Q31*SQRT(F31+1E-300))))^2</f>
        <v>1.7415326049563255E-2</v>
      </c>
      <c r="G31" s="27">
        <f ca="1">(F31 * pipeline_length * E31^2 ) / (2*gravitational_acceleration * O31)</f>
        <v>320.11683334947719</v>
      </c>
      <c r="H31" s="28">
        <f ca="1">(S31*gravitational_acceleration*T31*(G31)/(pump_efficiency))/1000</f>
        <v>2760.2638649460432</v>
      </c>
      <c r="I31" s="28">
        <f>(S31*gravitational_acceleration*T31*(Elevation_change)/(pump_efficiency))/1000</f>
        <v>8622.6764024390268</v>
      </c>
      <c r="J31" s="125">
        <f ca="1">H31*Projected_kWh*annual_hours_operation_h_yr</f>
        <v>4057587.881470683</v>
      </c>
      <c r="K31" s="125">
        <f>I31*Projected_kWh*annual_hours_operation_h_yr</f>
        <v>12675334.311585369</v>
      </c>
      <c r="L31" s="29">
        <f>dynamic_viscosity_of_water</f>
        <v>1.2999999999999999E-3</v>
      </c>
      <c r="M31" s="15">
        <f>outside_diameter</f>
        <v>0.71120000000000005</v>
      </c>
      <c r="N31" s="31">
        <f t="shared" si="9"/>
        <v>1.1561249999999999E-2</v>
      </c>
      <c r="O31" s="32">
        <f t="shared" si="4"/>
        <v>0.68807750000000001</v>
      </c>
      <c r="P31" s="31">
        <f t="shared" si="8"/>
        <v>3.6683333333333327E-4</v>
      </c>
      <c r="Q31" s="109">
        <f>S31*E31*O31/L31</f>
        <v>1026277.1850711721</v>
      </c>
      <c r="R31" s="29">
        <f t="shared" si="5"/>
        <v>700</v>
      </c>
      <c r="S31" s="29">
        <f>fluid_density</f>
        <v>1030</v>
      </c>
      <c r="T31" s="15">
        <f t="shared" si="6"/>
        <v>0.7</v>
      </c>
      <c r="U31" s="33">
        <f ca="1">1/SQRT(F31)</f>
        <v>7.5776439477214401</v>
      </c>
      <c r="V31" s="33">
        <f ca="1">-2 *LOG10(((P31) / (3.7 *O31)) + (2.51 / (Q31* SQRT(F31))))</f>
        <v>7.5776439477214392</v>
      </c>
      <c r="W31" s="34">
        <f t="shared" ca="1" si="7"/>
        <v>0</v>
      </c>
      <c r="X31" s="35"/>
      <c r="Y31" s="35"/>
      <c r="Z31" s="38" t="s">
        <v>113</v>
      </c>
      <c r="AA31" s="39">
        <f ca="1">G20</f>
        <v>252.4852789866699</v>
      </c>
      <c r="AB31" s="17" t="s">
        <v>2</v>
      </c>
    </row>
    <row r="32" spans="1:30">
      <c r="A32" s="22">
        <v>13</v>
      </c>
      <c r="B32" s="23">
        <f t="shared" si="0"/>
        <v>0.39399999999999991</v>
      </c>
      <c r="C32" s="24">
        <f t="shared" si="1"/>
        <v>688.3900000000001</v>
      </c>
      <c r="D32" s="25">
        <f t="shared" si="2"/>
        <v>11.404999999999998</v>
      </c>
      <c r="E32" s="24">
        <f t="shared" si="3"/>
        <v>1.8807845689734883</v>
      </c>
      <c r="F32" s="26">
        <f ca="1">1/(-2*LOG10((P32/O32)/3.7 + 2.51/(Q32*SQRT(F32+1E-300))))^2</f>
        <v>1.7667282271520542E-2</v>
      </c>
      <c r="G32" s="27">
        <f ca="1">(F32 * pipeline_length * E32^2 ) / (2*gravitational_acceleration * O32)</f>
        <v>324.011682729678</v>
      </c>
      <c r="H32" s="28">
        <f ca="1">(S32*gravitational_acceleration*T32*(G32)/(pump_efficiency))/1000</f>
        <v>2793.8478907877547</v>
      </c>
      <c r="I32" s="28">
        <f>(S32*gravitational_acceleration*T32*(Elevation_change)/(pump_efficiency))/1000</f>
        <v>8622.6764024390268</v>
      </c>
      <c r="J32" s="125">
        <f ca="1">H32*Projected_kWh*annual_hours_operation_h_yr</f>
        <v>4106956.399457999</v>
      </c>
      <c r="K32" s="125">
        <f>I32*Projected_kWh*annual_hours_operation_h_yr</f>
        <v>12675334.311585369</v>
      </c>
      <c r="L32" s="29">
        <f>dynamic_viscosity_of_water</f>
        <v>1.2999999999999999E-3</v>
      </c>
      <c r="M32" s="15">
        <f>outside_diameter</f>
        <v>0.71120000000000005</v>
      </c>
      <c r="N32" s="31">
        <f t="shared" si="9"/>
        <v>1.1404999999999998E-2</v>
      </c>
      <c r="O32" s="32">
        <f t="shared" si="4"/>
        <v>0.68839000000000006</v>
      </c>
      <c r="P32" s="31">
        <f t="shared" si="8"/>
        <v>3.9399999999999993E-4</v>
      </c>
      <c r="Q32" s="109">
        <f>S32*E32*O32/L32</f>
        <v>1025811.298552869</v>
      </c>
      <c r="R32" s="29">
        <f t="shared" si="5"/>
        <v>700</v>
      </c>
      <c r="S32" s="29">
        <f>fluid_density</f>
        <v>1030</v>
      </c>
      <c r="T32" s="15">
        <f t="shared" si="6"/>
        <v>0.7</v>
      </c>
      <c r="U32" s="33">
        <f ca="1">1/SQRT(F32)</f>
        <v>7.5234168609462309</v>
      </c>
      <c r="V32" s="33">
        <f ca="1">-2 *LOG10(((P32) / (3.7 *O32)) + (2.51 / (Q32* SQRT(F32))))</f>
        <v>7.5234168609462309</v>
      </c>
      <c r="W32" s="34">
        <f t="shared" ca="1" si="7"/>
        <v>0</v>
      </c>
      <c r="X32" s="35"/>
      <c r="Y32" s="35"/>
      <c r="Z32" s="18" t="s">
        <v>114</v>
      </c>
      <c r="AA32" s="40">
        <f>Elevation_change</f>
        <v>1000</v>
      </c>
      <c r="AB32" s="17" t="s">
        <v>2</v>
      </c>
    </row>
    <row r="33" spans="1:28">
      <c r="A33" s="22">
        <v>14</v>
      </c>
      <c r="B33" s="23">
        <f t="shared" si="0"/>
        <v>0.42116666666666658</v>
      </c>
      <c r="C33" s="24">
        <f t="shared" si="1"/>
        <v>688.7025000000001</v>
      </c>
      <c r="D33" s="25">
        <f t="shared" si="2"/>
        <v>11.248749999999998</v>
      </c>
      <c r="E33" s="24">
        <f t="shared" si="3"/>
        <v>1.8790781374371202</v>
      </c>
      <c r="F33" s="26">
        <f ca="1">1/(-2*LOG10((P33/O33)/3.7 + 2.51/(Q33*SQRT(F33+1E-300))))^2</f>
        <v>1.7909413807636207E-2</v>
      </c>
      <c r="G33" s="27">
        <f ca="1">(F33 * pipeline_length * E33^2 ) / (2*gravitational_acceleration * O33)</f>
        <v>327.70778597121586</v>
      </c>
      <c r="H33" s="28">
        <f ca="1">(S33*gravitational_acceleration*T33*(G33)/(pump_efficiency))/1000</f>
        <v>2825.7181929895419</v>
      </c>
      <c r="I33" s="28">
        <f>(S33*gravitational_acceleration*T33*(Elevation_change)/(pump_efficiency))/1000</f>
        <v>8622.6764024390268</v>
      </c>
      <c r="J33" s="125">
        <f ca="1">H33*Projected_kWh*annual_hours_operation_h_yr</f>
        <v>4153805.7436946263</v>
      </c>
      <c r="K33" s="125">
        <f>I33*Projected_kWh*annual_hours_operation_h_yr</f>
        <v>12675334.311585369</v>
      </c>
      <c r="L33" s="29">
        <f>dynamic_viscosity_of_water</f>
        <v>1.2999999999999999E-3</v>
      </c>
      <c r="M33" s="15">
        <f>outside_diameter</f>
        <v>0.71120000000000005</v>
      </c>
      <c r="N33" s="31">
        <f t="shared" si="9"/>
        <v>1.1248749999999998E-2</v>
      </c>
      <c r="O33" s="32">
        <f t="shared" si="4"/>
        <v>0.68870250000000011</v>
      </c>
      <c r="P33" s="31">
        <f t="shared" si="8"/>
        <v>4.2116666666666659E-4</v>
      </c>
      <c r="Q33" s="109">
        <f>S33*E33*O33/L33</f>
        <v>1025345.8348282593</v>
      </c>
      <c r="R33" s="29">
        <f t="shared" si="5"/>
        <v>700</v>
      </c>
      <c r="S33" s="29">
        <f>fluid_density</f>
        <v>1030</v>
      </c>
      <c r="T33" s="15">
        <f t="shared" si="6"/>
        <v>0.7</v>
      </c>
      <c r="U33" s="33">
        <f ca="1">1/SQRT(F33)</f>
        <v>7.4723862805685206</v>
      </c>
      <c r="V33" s="33">
        <f ca="1">-2 *LOG10(((P33) / (3.7 *O33)) + (2.51 / (Q33* SQRT(F33))))</f>
        <v>7.4723862805685215</v>
      </c>
      <c r="W33" s="34">
        <f t="shared" ca="1" si="7"/>
        <v>0</v>
      </c>
      <c r="X33" s="35"/>
      <c r="Y33" s="35"/>
      <c r="Z33" s="18" t="s">
        <v>84</v>
      </c>
      <c r="AA33" s="17">
        <f>annual_hours_operation_h_yr</f>
        <v>8400</v>
      </c>
      <c r="AB33" s="17" t="s">
        <v>11</v>
      </c>
    </row>
    <row r="34" spans="1:28">
      <c r="A34" s="22">
        <v>15</v>
      </c>
      <c r="B34" s="23">
        <f t="shared" si="0"/>
        <v>0.44833333333333325</v>
      </c>
      <c r="C34" s="24">
        <f t="shared" si="1"/>
        <v>689.0150000000001</v>
      </c>
      <c r="D34" s="25">
        <f t="shared" si="2"/>
        <v>11.092499999999998</v>
      </c>
      <c r="E34" s="24">
        <f t="shared" si="3"/>
        <v>1.8773740272097972</v>
      </c>
      <c r="F34" s="26">
        <f ca="1">1/(-2*LOG10((P34/O34)/3.7 + 2.51/(Q34*SQRT(F34+1E-300))))^2</f>
        <v>1.8142645611462359E-2</v>
      </c>
      <c r="G34" s="27">
        <f ca="1">(F34 * pipeline_length * E34^2 ) / (2*gravitational_acceleration * O34)</f>
        <v>331.22333068328618</v>
      </c>
      <c r="H34" s="28">
        <f ca="1">(S34*gravitational_acceleration*T34*(G34)/(pump_efficiency))/1000</f>
        <v>2856.0315974200294</v>
      </c>
      <c r="I34" s="28">
        <f>(S34*gravitational_acceleration*T34*(Elevation_change)/(pump_efficiency))/1000</f>
        <v>8622.6764024390268</v>
      </c>
      <c r="J34" s="125">
        <f ca="1">H34*Projected_kWh*annual_hours_operation_h_yr</f>
        <v>4198366.4482074426</v>
      </c>
      <c r="K34" s="125">
        <f>I34*Projected_kWh*annual_hours_operation_h_yr</f>
        <v>12675334.311585369</v>
      </c>
      <c r="L34" s="29">
        <f>dynamic_viscosity_of_water</f>
        <v>1.2999999999999999E-3</v>
      </c>
      <c r="M34" s="15">
        <f>outside_diameter</f>
        <v>0.71120000000000005</v>
      </c>
      <c r="N34" s="31">
        <f t="shared" si="9"/>
        <v>1.1092499999999998E-2</v>
      </c>
      <c r="O34" s="32">
        <f t="shared" si="4"/>
        <v>0.68901500000000004</v>
      </c>
      <c r="P34" s="31">
        <f t="shared" si="8"/>
        <v>4.4833333333333324E-4</v>
      </c>
      <c r="Q34" s="109">
        <f>S34*E34*O34/L34</f>
        <v>1024880.7933220748</v>
      </c>
      <c r="R34" s="29">
        <f t="shared" si="5"/>
        <v>700</v>
      </c>
      <c r="S34" s="29">
        <f>fluid_density</f>
        <v>1030</v>
      </c>
      <c r="T34" s="15">
        <f t="shared" si="6"/>
        <v>0.7</v>
      </c>
      <c r="U34" s="33">
        <f ca="1">1/SQRT(F34)</f>
        <v>7.4242004874178722</v>
      </c>
      <c r="V34" s="33">
        <f ca="1">-2 *LOG10(((P34) / (3.7 *O34)) + (2.51 / (Q34* SQRT(F34))))</f>
        <v>7.4242004874178731</v>
      </c>
      <c r="W34" s="34">
        <f t="shared" ca="1" si="7"/>
        <v>0</v>
      </c>
      <c r="X34" s="35"/>
      <c r="Y34" s="35"/>
      <c r="Z34" s="18" t="s">
        <v>96</v>
      </c>
      <c r="AA34" s="17">
        <f>pump_efficiency</f>
        <v>0.82</v>
      </c>
      <c r="AB34" s="17" t="s">
        <v>22</v>
      </c>
    </row>
    <row r="35" spans="1:28">
      <c r="A35" s="22">
        <v>16</v>
      </c>
      <c r="B35" s="23">
        <f t="shared" si="0"/>
        <v>0.47549999999999992</v>
      </c>
      <c r="C35" s="24">
        <f t="shared" si="1"/>
        <v>689.3275000000001</v>
      </c>
      <c r="D35" s="25">
        <f t="shared" si="2"/>
        <v>10.936249999999998</v>
      </c>
      <c r="E35" s="24">
        <f t="shared" si="3"/>
        <v>1.8756722340830994</v>
      </c>
      <c r="F35" s="26">
        <f ca="1">1/(-2*LOG10((P35/O35)/3.7 + 2.51/(Q35*SQRT(F35+1E-300))))^2</f>
        <v>1.8367771406277059E-2</v>
      </c>
      <c r="G35" s="27">
        <f ca="1">(F35 * pipeline_length * E35^2 ) / (2*gravitational_acceleration * O35)</f>
        <v>334.57395413206262</v>
      </c>
      <c r="H35" s="28">
        <f ca="1">(S35*gravitational_acceleration*T35*(G35)/(pump_efficiency))/1000</f>
        <v>2884.9229391652534</v>
      </c>
      <c r="I35" s="28">
        <f>(S35*gravitational_acceleration*T35*(Elevation_change)/(pump_efficiency))/1000</f>
        <v>8622.6764024390268</v>
      </c>
      <c r="J35" s="125">
        <f ca="1">H35*Projected_kWh*annual_hours_operation_h_yr</f>
        <v>4240836.7205729224</v>
      </c>
      <c r="K35" s="125">
        <f>I35*Projected_kWh*annual_hours_operation_h_yr</f>
        <v>12675334.311585369</v>
      </c>
      <c r="L35" s="29">
        <f>dynamic_viscosity_of_water</f>
        <v>1.2999999999999999E-3</v>
      </c>
      <c r="M35" s="15">
        <f>outside_diameter</f>
        <v>0.71120000000000005</v>
      </c>
      <c r="N35" s="31">
        <f t="shared" si="9"/>
        <v>1.0936249999999998E-2</v>
      </c>
      <c r="O35" s="32">
        <f t="shared" si="4"/>
        <v>0.68932750000000009</v>
      </c>
      <c r="P35" s="31">
        <f t="shared" si="8"/>
        <v>4.754999999999999E-4</v>
      </c>
      <c r="Q35" s="109">
        <f>S35*E35*O35/L35</f>
        <v>1024416.1734600889</v>
      </c>
      <c r="R35" s="29">
        <f t="shared" si="5"/>
        <v>700</v>
      </c>
      <c r="S35" s="29">
        <f>fluid_density</f>
        <v>1030</v>
      </c>
      <c r="T35" s="15">
        <f t="shared" si="6"/>
        <v>0.7</v>
      </c>
      <c r="U35" s="33">
        <f ca="1">1/SQRT(F35)</f>
        <v>7.378562615306639</v>
      </c>
      <c r="V35" s="33">
        <f ca="1">-2 *LOG10(((P35) / (3.7 *O35)) + (2.51 / (Q35* SQRT(F35))))</f>
        <v>7.378562615306639</v>
      </c>
      <c r="W35" s="34">
        <f t="shared" ca="1" si="7"/>
        <v>0</v>
      </c>
      <c r="X35" s="35"/>
      <c r="Y35" s="35"/>
      <c r="Z35" s="18" t="s">
        <v>97</v>
      </c>
      <c r="AA35" s="41">
        <f ca="1">(fluid_density*gravitational_acceleration*design_flow_rate*(bare_hf_yr1_m+Elevation_change))/pump_efficiency</f>
        <v>10799775.259520618</v>
      </c>
      <c r="AB35" s="17" t="s">
        <v>116</v>
      </c>
    </row>
    <row r="36" spans="1:28">
      <c r="A36" s="22">
        <v>17</v>
      </c>
      <c r="B36" s="23">
        <f t="shared" si="0"/>
        <v>0.5026666666666666</v>
      </c>
      <c r="C36" s="24">
        <f t="shared" si="1"/>
        <v>689.64</v>
      </c>
      <c r="D36" s="25">
        <f t="shared" si="2"/>
        <v>10.779999999999998</v>
      </c>
      <c r="E36" s="24">
        <f t="shared" si="3"/>
        <v>1.8739727538581423</v>
      </c>
      <c r="F36" s="26">
        <f ca="1">1/(-2*LOG10((P36/O36)/3.7 + 2.51/(Q36*SQRT(F36+1E-300))))^2</f>
        <v>1.8585477874260663E-2</v>
      </c>
      <c r="G36" s="27">
        <f ca="1">(F36 * pipeline_length * E36^2 ) / (2*gravitational_acceleration * O36)</f>
        <v>337.77321098591591</v>
      </c>
      <c r="H36" s="28">
        <f ca="1">(S36*gravitational_acceleration*T36*(G36)/(pump_efficiency))/1000</f>
        <v>2912.5090957443149</v>
      </c>
      <c r="I36" s="28">
        <f>(S36*gravitational_acceleration*T36*(Elevation_change)/(pump_efficiency))/1000</f>
        <v>8622.6764024390268</v>
      </c>
      <c r="J36" s="125">
        <f ca="1">H36*Projected_kWh*annual_hours_operation_h_yr</f>
        <v>4281388.3707441427</v>
      </c>
      <c r="K36" s="125">
        <f>I36*Projected_kWh*annual_hours_operation_h_yr</f>
        <v>12675334.311585369</v>
      </c>
      <c r="L36" s="29">
        <f>dynamic_viscosity_of_water</f>
        <v>1.2999999999999999E-3</v>
      </c>
      <c r="M36" s="15">
        <f>outside_diameter</f>
        <v>0.71120000000000005</v>
      </c>
      <c r="N36" s="31">
        <f t="shared" si="9"/>
        <v>1.0779999999999998E-2</v>
      </c>
      <c r="O36" s="32">
        <f t="shared" si="4"/>
        <v>0.68964000000000003</v>
      </c>
      <c r="P36" s="31">
        <f t="shared" si="8"/>
        <v>5.0266666666666656E-4</v>
      </c>
      <c r="Q36" s="109">
        <f>S36*E36*O36/L36</f>
        <v>1023951.9746691164</v>
      </c>
      <c r="R36" s="29">
        <f t="shared" si="5"/>
        <v>700</v>
      </c>
      <c r="S36" s="29">
        <f>fluid_density</f>
        <v>1030</v>
      </c>
      <c r="T36" s="15">
        <f t="shared" si="6"/>
        <v>0.7</v>
      </c>
      <c r="U36" s="33">
        <f ca="1">1/SQRT(F36)</f>
        <v>7.3352198313107682</v>
      </c>
      <c r="V36" s="33">
        <f ca="1">-2 *LOG10(((P36) / (3.7 *O36)) + (2.51 / (Q36* SQRT(F36))))</f>
        <v>7.335219831310769</v>
      </c>
      <c r="W36" s="34">
        <f t="shared" ca="1" si="7"/>
        <v>0</v>
      </c>
      <c r="X36" s="35"/>
      <c r="Y36" s="35"/>
      <c r="Z36" s="18" t="s">
        <v>98</v>
      </c>
      <c r="AA36" s="42">
        <f>Projected_kWh</f>
        <v>0.17499999999999999</v>
      </c>
      <c r="AB36" s="17" t="s">
        <v>116</v>
      </c>
    </row>
    <row r="37" spans="1:28">
      <c r="A37" s="22">
        <v>18</v>
      </c>
      <c r="B37" s="23">
        <f t="shared" si="0"/>
        <v>0.52983333333333327</v>
      </c>
      <c r="C37" s="24">
        <f t="shared" si="1"/>
        <v>689.9525000000001</v>
      </c>
      <c r="D37" s="25">
        <f t="shared" si="2"/>
        <v>10.623749999999998</v>
      </c>
      <c r="E37" s="24">
        <f t="shared" si="3"/>
        <v>1.8722755823455464</v>
      </c>
      <c r="F37" s="26">
        <f ca="1">1/(-2*LOG10((P37/O37)/3.7 + 2.51/(Q37*SQRT(F37+1E-300))))^2</f>
        <v>1.8796363461598447E-2</v>
      </c>
      <c r="G37" s="27">
        <f ca="1">(F37 * pipeline_length * E37^2 ) / (2*gravitational_acceleration * O37)</f>
        <v>340.83293723647211</v>
      </c>
      <c r="H37" s="28">
        <f ca="1">(S37*gravitational_acceleration*T37*(G37)/(pump_efficiency))/1000</f>
        <v>2938.8921250829094</v>
      </c>
      <c r="I37" s="28">
        <f>(S37*gravitational_acceleration*T37*(Elevation_change)/(pump_efficiency))/1000</f>
        <v>8622.6764024390268</v>
      </c>
      <c r="J37" s="125">
        <f ca="1">H37*Projected_kWh*annual_hours_operation_h_yr</f>
        <v>4320171.4238718767</v>
      </c>
      <c r="K37" s="125">
        <f>I37*Projected_kWh*annual_hours_operation_h_yr</f>
        <v>12675334.311585369</v>
      </c>
      <c r="L37" s="29">
        <f>dynamic_viscosity_of_water</f>
        <v>1.2999999999999999E-3</v>
      </c>
      <c r="M37" s="15">
        <f>outside_diameter</f>
        <v>0.71120000000000005</v>
      </c>
      <c r="N37" s="31">
        <f t="shared" si="9"/>
        <v>1.0623749999999998E-2</v>
      </c>
      <c r="O37" s="32">
        <f t="shared" si="4"/>
        <v>0.68995250000000008</v>
      </c>
      <c r="P37" s="31">
        <f t="shared" si="8"/>
        <v>5.2983333333333322E-4</v>
      </c>
      <c r="Q37" s="109">
        <f>S37*E37*O37/L37</f>
        <v>1023488.1963770107</v>
      </c>
      <c r="R37" s="29">
        <f t="shared" si="5"/>
        <v>700</v>
      </c>
      <c r="S37" s="29">
        <f>fluid_density</f>
        <v>1030</v>
      </c>
      <c r="T37" s="15">
        <f t="shared" si="6"/>
        <v>0.7</v>
      </c>
      <c r="U37" s="33">
        <f ca="1">1/SQRT(F37)</f>
        <v>7.2939550544284613</v>
      </c>
      <c r="V37" s="33">
        <f ca="1">-2 *LOG10(((P37) / (3.7 *O37)) + (2.51 / (Q37* SQRT(F37))))</f>
        <v>7.2939550544284613</v>
      </c>
      <c r="W37" s="34">
        <f t="shared" ca="1" si="7"/>
        <v>0</v>
      </c>
      <c r="X37" s="35"/>
      <c r="Y37" s="35"/>
      <c r="Z37" s="18" t="s">
        <v>118</v>
      </c>
      <c r="AA37" s="41"/>
      <c r="AB37" s="17" t="s">
        <v>117</v>
      </c>
    </row>
    <row r="38" spans="1:28">
      <c r="A38" s="22">
        <v>19</v>
      </c>
      <c r="B38" s="23">
        <f t="shared" si="0"/>
        <v>0.55699999999999983</v>
      </c>
      <c r="C38" s="24">
        <f t="shared" si="1"/>
        <v>690.26499999999999</v>
      </c>
      <c r="D38" s="25">
        <f t="shared" si="2"/>
        <v>10.467499999999998</v>
      </c>
      <c r="E38" s="24">
        <f t="shared" si="3"/>
        <v>1.8705807153654146</v>
      </c>
      <c r="F38" s="26">
        <f ca="1">1/(-2*LOG10((P38/O38)/3.7 + 2.51/(Q38*SQRT(F38+1E-300))))^2</f>
        <v>1.9000953184840581E-2</v>
      </c>
      <c r="G38" s="27">
        <f ca="1">(F38 * pipeline_length * E38^2 ) / (2*gravitational_acceleration * O38)</f>
        <v>343.76353696273009</v>
      </c>
      <c r="H38" s="28">
        <f ca="1">(S38*gravitational_acceleration*T38*(G38)/(pump_efficiency))/1000</f>
        <v>2964.161738187508</v>
      </c>
      <c r="I38" s="28">
        <f>(S38*gravitational_acceleration*T38*(Elevation_change)/(pump_efficiency))/1000</f>
        <v>8622.6764024390268</v>
      </c>
      <c r="J38" s="125">
        <f ca="1">H38*Projected_kWh*annual_hours_operation_h_yr</f>
        <v>4357317.7551356368</v>
      </c>
      <c r="K38" s="125">
        <f>I38*Projected_kWh*annual_hours_operation_h_yr</f>
        <v>12675334.311585369</v>
      </c>
      <c r="L38" s="29">
        <f>dynamic_viscosity_of_water</f>
        <v>1.2999999999999999E-3</v>
      </c>
      <c r="M38" s="15">
        <f>outside_diameter</f>
        <v>0.71120000000000005</v>
      </c>
      <c r="N38" s="31">
        <f t="shared" si="9"/>
        <v>1.0467499999999998E-2</v>
      </c>
      <c r="O38" s="32">
        <f t="shared" si="4"/>
        <v>0.69026500000000002</v>
      </c>
      <c r="P38" s="31">
        <f t="shared" si="8"/>
        <v>5.5699999999999988E-4</v>
      </c>
      <c r="Q38" s="109">
        <f>S38*E38*O38/L38</f>
        <v>1023024.8380126611</v>
      </c>
      <c r="R38" s="29">
        <f t="shared" si="5"/>
        <v>700</v>
      </c>
      <c r="S38" s="29">
        <f>fluid_density</f>
        <v>1030</v>
      </c>
      <c r="T38" s="15">
        <f t="shared" si="6"/>
        <v>0.7</v>
      </c>
      <c r="U38" s="33">
        <f ca="1">1/SQRT(F38)</f>
        <v>7.2545805308511104</v>
      </c>
      <c r="V38" s="33">
        <f ca="1">-2 *LOG10(((P38) / (3.7 *O38)) + (2.51 / (Q38* SQRT(F38))))</f>
        <v>7.2545805308511104</v>
      </c>
      <c r="W38" s="34">
        <f t="shared" ca="1" si="7"/>
        <v>0</v>
      </c>
      <c r="X38" s="35"/>
      <c r="Y38" s="35"/>
    </row>
    <row r="39" spans="1:28">
      <c r="A39" s="22">
        <v>20</v>
      </c>
      <c r="B39" s="23">
        <f t="shared" si="0"/>
        <v>0.5841666666666665</v>
      </c>
      <c r="C39" s="24">
        <f t="shared" si="1"/>
        <v>690.5775000000001</v>
      </c>
      <c r="D39" s="25">
        <f t="shared" si="2"/>
        <v>10.311249999999998</v>
      </c>
      <c r="E39" s="24">
        <f t="shared" si="3"/>
        <v>1.8688881487473037</v>
      </c>
      <c r="F39" s="26">
        <f ca="1">1/(-2*LOG10((P39/O39)/3.7 + 2.51/(Q39*SQRT(F39+1E-300))))^2</f>
        <v>1.9199710423515311E-2</v>
      </c>
      <c r="G39" s="27">
        <f ca="1">(F39 * pipeline_length * E39^2 ) / (2*gravitational_acceleration * O39)</f>
        <v>346.57421090846867</v>
      </c>
      <c r="H39" s="28">
        <f ca="1">(S39*gravitational_acceleration*T39*(G39)/(pump_efficiency))/1000</f>
        <v>2988.3972700943782</v>
      </c>
      <c r="I39" s="28">
        <f>(S39*gravitational_acceleration*T39*(Elevation_change)/(pump_efficiency))/1000</f>
        <v>8622.6764024390268</v>
      </c>
      <c r="J39" s="125">
        <f ca="1">H39*Projected_kWh*annual_hours_operation_h_yr</f>
        <v>4392943.9870387353</v>
      </c>
      <c r="K39" s="125">
        <f>I39*Projected_kWh*annual_hours_operation_h_yr</f>
        <v>12675334.311585369</v>
      </c>
      <c r="L39" s="29">
        <f>dynamic_viscosity_of_water</f>
        <v>1.2999999999999999E-3</v>
      </c>
      <c r="M39" s="15">
        <f>outside_diameter</f>
        <v>0.71120000000000005</v>
      </c>
      <c r="N39" s="31">
        <f t="shared" si="9"/>
        <v>1.0311249999999998E-2</v>
      </c>
      <c r="O39" s="32">
        <f t="shared" si="4"/>
        <v>0.69057750000000007</v>
      </c>
      <c r="P39" s="31">
        <f t="shared" si="8"/>
        <v>5.8416666666666654E-4</v>
      </c>
      <c r="Q39" s="109">
        <f>S39*E39*O39/L39</f>
        <v>1022561.8990059905</v>
      </c>
      <c r="R39" s="29">
        <f t="shared" si="5"/>
        <v>700</v>
      </c>
      <c r="S39" s="29">
        <f>fluid_density</f>
        <v>1030</v>
      </c>
      <c r="T39" s="15">
        <f t="shared" si="6"/>
        <v>0.7</v>
      </c>
      <c r="U39" s="33">
        <f ca="1">1/SQRT(F39)</f>
        <v>7.2169327883574841</v>
      </c>
      <c r="V39" s="33">
        <f ca="1">-2 *LOG10(((P39) / (3.7 *O39)) + (2.51 / (Q39* SQRT(F39))))</f>
        <v>7.2169327883574832</v>
      </c>
      <c r="W39" s="34">
        <f t="shared" ca="1" si="7"/>
        <v>0</v>
      </c>
      <c r="X39" s="35"/>
      <c r="Y39" s="35"/>
    </row>
    <row r="40" spans="1:28">
      <c r="A40" s="22">
        <v>21</v>
      </c>
      <c r="B40" s="23">
        <f t="shared" si="0"/>
        <v>0.61133333333333317</v>
      </c>
      <c r="C40" s="24">
        <f t="shared" si="1"/>
        <v>690.89</v>
      </c>
      <c r="D40" s="25">
        <f t="shared" si="2"/>
        <v>10.154999999999998</v>
      </c>
      <c r="E40" s="24">
        <f t="shared" si="3"/>
        <v>1.8671978783302021</v>
      </c>
      <c r="F40" s="26">
        <f ca="1">1/(-2*LOG10((P40/O40)/3.7 + 2.51/(Q40*SQRT(F40+1E-300))))^2</f>
        <v>1.9393046410970317E-2</v>
      </c>
      <c r="G40" s="27">
        <f ca="1">(F40 * pipeline_length * E40^2 ) / (2*gravitational_acceleration * O40)</f>
        <v>349.27314059182822</v>
      </c>
      <c r="H40" s="28">
        <f ca="1">(S40*gravitational_acceleration*T40*(G40)/(pump_efficiency))/1000</f>
        <v>3011.6692673869247</v>
      </c>
      <c r="I40" s="28">
        <f>(S40*gravitational_acceleration*T40*(Elevation_change)/(pump_efficiency))/1000</f>
        <v>8622.6764024390268</v>
      </c>
      <c r="J40" s="125">
        <f ca="1">H40*Projected_kWh*annual_hours_operation_h_yr</f>
        <v>4427153.8230587794</v>
      </c>
      <c r="K40" s="125">
        <f>I40*Projected_kWh*annual_hours_operation_h_yr</f>
        <v>12675334.311585369</v>
      </c>
      <c r="L40" s="29">
        <f>dynamic_viscosity_of_water</f>
        <v>1.2999999999999999E-3</v>
      </c>
      <c r="M40" s="15">
        <f>outside_diameter</f>
        <v>0.71120000000000005</v>
      </c>
      <c r="N40" s="31">
        <f t="shared" si="9"/>
        <v>1.0154999999999997E-2</v>
      </c>
      <c r="O40" s="32">
        <f t="shared" si="4"/>
        <v>0.69089</v>
      </c>
      <c r="P40" s="31">
        <f t="shared" si="8"/>
        <v>6.1133333333333319E-4</v>
      </c>
      <c r="Q40" s="109">
        <f>S40*E40*O40/L40</f>
        <v>1022099.3787879539</v>
      </c>
      <c r="R40" s="29">
        <f t="shared" si="5"/>
        <v>700</v>
      </c>
      <c r="S40" s="29">
        <f>fluid_density</f>
        <v>1030</v>
      </c>
      <c r="T40" s="15">
        <f t="shared" si="6"/>
        <v>0.7</v>
      </c>
      <c r="U40" s="33">
        <f ca="1">1/SQRT(F40)</f>
        <v>7.1808686295926609</v>
      </c>
      <c r="V40" s="33">
        <f ca="1">-2 *LOG10(((P40) / (3.7 *O40)) + (2.51 / (Q40* SQRT(F40))))</f>
        <v>7.1808686295926609</v>
      </c>
      <c r="W40" s="34">
        <f t="shared" ca="1" si="7"/>
        <v>0</v>
      </c>
      <c r="X40" s="35"/>
      <c r="Y40" s="35"/>
    </row>
    <row r="41" spans="1:28">
      <c r="A41" s="22">
        <v>22</v>
      </c>
      <c r="B41" s="23">
        <f t="shared" si="0"/>
        <v>0.63849999999999985</v>
      </c>
      <c r="C41" s="24">
        <f t="shared" si="1"/>
        <v>691.2025000000001</v>
      </c>
      <c r="D41" s="25">
        <f t="shared" si="2"/>
        <v>9.9987499999999976</v>
      </c>
      <c r="E41" s="24">
        <f t="shared" si="3"/>
        <v>1.8655098999624999</v>
      </c>
      <c r="F41" s="26">
        <f ca="1">1/(-2*LOG10((P41/O41)/3.7 + 2.51/(Q41*SQRT(F41+1E-300))))^2</f>
        <v>1.9581327945819946E-2</v>
      </c>
      <c r="G41" s="27">
        <f ca="1">(F41 * pipeline_length * E41^2 ) / (2*gravitational_acceleration * O41)</f>
        <v>351.86763801764471</v>
      </c>
      <c r="H41" s="28">
        <f ca="1">(S41*gravitational_acceleration*T41*(G41)/(pump_efficiency))/1000</f>
        <v>3034.0407791167017</v>
      </c>
      <c r="I41" s="28">
        <f>(S41*gravitational_acceleration*T41*(Elevation_change)/(pump_efficiency))/1000</f>
        <v>8622.6764024390268</v>
      </c>
      <c r="J41" s="125">
        <f ca="1">H41*Projected_kWh*annual_hours_operation_h_yr</f>
        <v>4460039.9453015514</v>
      </c>
      <c r="K41" s="125">
        <f>I41*Projected_kWh*annual_hours_operation_h_yr</f>
        <v>12675334.311585369</v>
      </c>
      <c r="L41" s="29">
        <f>dynamic_viscosity_of_water</f>
        <v>1.2999999999999999E-3</v>
      </c>
      <c r="M41" s="15">
        <f>outside_diameter</f>
        <v>0.71120000000000005</v>
      </c>
      <c r="N41" s="31">
        <f t="shared" si="9"/>
        <v>9.9987499999999972E-3</v>
      </c>
      <c r="O41" s="32">
        <f t="shared" si="4"/>
        <v>0.69120250000000005</v>
      </c>
      <c r="P41" s="31">
        <f t="shared" si="8"/>
        <v>6.3849999999999985E-4</v>
      </c>
      <c r="Q41" s="109">
        <f>S41*E41*O41/L41</f>
        <v>1021637.2767905345</v>
      </c>
      <c r="R41" s="29">
        <f t="shared" si="5"/>
        <v>700</v>
      </c>
      <c r="S41" s="29">
        <f>fluid_density</f>
        <v>1030</v>
      </c>
      <c r="T41" s="15">
        <f t="shared" si="6"/>
        <v>0.7</v>
      </c>
      <c r="U41" s="33">
        <f ca="1">1/SQRT(F41)</f>
        <v>7.1462619179684683</v>
      </c>
      <c r="V41" s="33">
        <f ca="1">-2 *LOG10(((P41) / (3.7 *O41)) + (2.51 / (Q41* SQRT(F41))))</f>
        <v>7.1462619179684692</v>
      </c>
      <c r="W41" s="34">
        <f t="shared" ca="1" si="7"/>
        <v>0</v>
      </c>
      <c r="X41" s="35"/>
      <c r="Y41" s="35"/>
    </row>
    <row r="42" spans="1:28">
      <c r="A42" s="22">
        <v>23</v>
      </c>
      <c r="B42" s="23">
        <f t="shared" si="0"/>
        <v>0.66566666666666652</v>
      </c>
      <c r="C42" s="24">
        <f t="shared" si="1"/>
        <v>691.5150000000001</v>
      </c>
      <c r="D42" s="25">
        <f t="shared" si="2"/>
        <v>9.8424999999999976</v>
      </c>
      <c r="E42" s="24">
        <f t="shared" si="3"/>
        <v>1.8638242095019673</v>
      </c>
      <c r="F42" s="26">
        <f ca="1">1/(-2*LOG10((P42/O42)/3.7 + 2.51/(Q42*SQRT(F42+1E-300))))^2</f>
        <v>1.9764883712526358E-2</v>
      </c>
      <c r="G42" s="27">
        <f ca="1">(F42 * pipeline_length * E42^2 ) / (2*gravitational_acceleration * O42)</f>
        <v>354.36426848648006</v>
      </c>
      <c r="H42" s="28">
        <f ca="1">(S42*gravitational_acceleration*T42*(G42)/(pump_efficiency))/1000</f>
        <v>3055.5684157459386</v>
      </c>
      <c r="I42" s="28">
        <f>(S42*gravitational_acceleration*T42*(Elevation_change)/(pump_efficiency))/1000</f>
        <v>8622.6764024390268</v>
      </c>
      <c r="J42" s="125">
        <f ca="1">H42*Projected_kWh*annual_hours_operation_h_yr</f>
        <v>4491685.5711465292</v>
      </c>
      <c r="K42" s="125">
        <f>I42*Projected_kWh*annual_hours_operation_h_yr</f>
        <v>12675334.311585369</v>
      </c>
      <c r="L42" s="29">
        <f>dynamic_viscosity_of_water</f>
        <v>1.2999999999999999E-3</v>
      </c>
      <c r="M42" s="15">
        <f>outside_diameter</f>
        <v>0.71120000000000005</v>
      </c>
      <c r="N42" s="31">
        <f t="shared" si="9"/>
        <v>9.8424999999999971E-3</v>
      </c>
      <c r="O42" s="32">
        <f t="shared" si="4"/>
        <v>0.6915150000000001</v>
      </c>
      <c r="P42" s="31">
        <f t="shared" si="8"/>
        <v>6.6566666666666651E-4</v>
      </c>
      <c r="Q42" s="109">
        <f>S42*E42*O42/L42</f>
        <v>1021175.5924467429</v>
      </c>
      <c r="R42" s="29">
        <f t="shared" si="5"/>
        <v>700</v>
      </c>
      <c r="S42" s="29">
        <f>fluid_density</f>
        <v>1030</v>
      </c>
      <c r="T42" s="15">
        <f t="shared" si="6"/>
        <v>0.7</v>
      </c>
      <c r="U42" s="33">
        <f ca="1">1/SQRT(F42)</f>
        <v>7.1130009753805199</v>
      </c>
      <c r="V42" s="33">
        <f ca="1">-2 *LOG10(((P42) / (3.7 *O42)) + (2.51 / (Q42* SQRT(F42))))</f>
        <v>7.1130009753805208</v>
      </c>
      <c r="W42" s="34">
        <f t="shared" ca="1" si="7"/>
        <v>0</v>
      </c>
      <c r="X42" s="35"/>
      <c r="Y42" s="35"/>
    </row>
    <row r="43" spans="1:28">
      <c r="A43" s="22">
        <v>24</v>
      </c>
      <c r="B43" s="23">
        <f t="shared" si="0"/>
        <v>0.69283333333333319</v>
      </c>
      <c r="C43" s="24">
        <f t="shared" si="1"/>
        <v>691.82749999999999</v>
      </c>
      <c r="D43" s="25">
        <f t="shared" si="2"/>
        <v>9.6862499999999976</v>
      </c>
      <c r="E43" s="24">
        <f t="shared" si="3"/>
        <v>1.862140802815728</v>
      </c>
      <c r="F43" s="26">
        <f ca="1">1/(-2*LOG10((P43/O43)/3.7 + 2.51/(Q43*SQRT(F43+1E-300))))^2</f>
        <v>1.9944009503717351E-2</v>
      </c>
      <c r="G43" s="27">
        <f ca="1">(F43 * pipeline_length * E43^2 ) / (2*gravitational_acceleration * O43)</f>
        <v>356.76895214690325</v>
      </c>
      <c r="H43" s="28">
        <f ca="1">(S43*gravitational_acceleration*T43*(G43)/(pump_efficiency))/1000</f>
        <v>3076.3032248000004</v>
      </c>
      <c r="I43" s="28">
        <f>(S43*gravitational_acceleration*T43*(Elevation_change)/(pump_efficiency))/1000</f>
        <v>8622.6764024390268</v>
      </c>
      <c r="J43" s="125">
        <f ca="1">H43*Projected_kWh*annual_hours_operation_h_yr</f>
        <v>4522165.7404560009</v>
      </c>
      <c r="K43" s="125">
        <f>I43*Projected_kWh*annual_hours_operation_h_yr</f>
        <v>12675334.311585369</v>
      </c>
      <c r="L43" s="29">
        <f>dynamic_viscosity_of_water</f>
        <v>1.2999999999999999E-3</v>
      </c>
      <c r="M43" s="15">
        <f>outside_diameter</f>
        <v>0.71120000000000005</v>
      </c>
      <c r="N43" s="31">
        <f t="shared" si="9"/>
        <v>9.6862499999999969E-3</v>
      </c>
      <c r="O43" s="32">
        <f t="shared" si="4"/>
        <v>0.69182750000000004</v>
      </c>
      <c r="P43" s="31">
        <f t="shared" si="8"/>
        <v>6.9283333333333317E-4</v>
      </c>
      <c r="Q43" s="109">
        <f>S43*E43*O43/L43</f>
        <v>1020714.325190614</v>
      </c>
      <c r="R43" s="29">
        <f t="shared" si="5"/>
        <v>700</v>
      </c>
      <c r="S43" s="29">
        <f>fluid_density</f>
        <v>1030</v>
      </c>
      <c r="T43" s="15">
        <f t="shared" si="6"/>
        <v>0.7</v>
      </c>
      <c r="U43" s="33">
        <f ca="1">1/SQRT(F43)</f>
        <v>7.0809864572520516</v>
      </c>
      <c r="V43" s="33">
        <f ca="1">-2 *LOG10(((P43) / (3.7 *O43)) + (2.51 / (Q43* SQRT(F43))))</f>
        <v>7.0809864572520516</v>
      </c>
      <c r="W43" s="34">
        <f t="shared" ca="1" si="7"/>
        <v>0</v>
      </c>
      <c r="X43" s="35"/>
      <c r="Y43" s="35"/>
      <c r="AA43" s="17">
        <f>design_flow_rate</f>
        <v>0.7</v>
      </c>
    </row>
    <row r="44" spans="1:28" s="56" customFormat="1">
      <c r="A44" s="43">
        <v>25</v>
      </c>
      <c r="B44" s="44">
        <f t="shared" si="0"/>
        <v>0.72</v>
      </c>
      <c r="C44" s="45">
        <f t="shared" si="1"/>
        <v>692.1400000000001</v>
      </c>
      <c r="D44" s="46">
        <f t="shared" si="2"/>
        <v>9.5299999999999994</v>
      </c>
      <c r="E44" s="45">
        <f t="shared" si="3"/>
        <v>1.8604596757802316</v>
      </c>
      <c r="F44" s="47">
        <f ca="1">1/(-2*LOG10((P44/O44)/3.7 + 2.51/(Q44*SQRT(F44+1E-300))))^2</f>
        <v>2.0118972567143085E-2</v>
      </c>
      <c r="G44" s="48">
        <f ca="1">(F44 * pipeline_length * E44^2 ) / (2*gravitational_acceleration * O44)</f>
        <v>359.08704859469327</v>
      </c>
      <c r="H44" s="28">
        <f ca="1">(S44*gravitational_acceleration*T44*(G44)/(pump_efficiency))/1000</f>
        <v>3096.2914203389378</v>
      </c>
      <c r="I44" s="28">
        <f>(S44*gravitational_acceleration*T44*(Elevation_change)/(pump_efficiency))/1000</f>
        <v>8622.6764024390268</v>
      </c>
      <c r="J44" s="126">
        <f ca="1">H44*Projected_kWh*annual_hours_operation_h_yr</f>
        <v>4551548.3878982384</v>
      </c>
      <c r="K44" s="126">
        <f>I44*Projected_kWh*annual_hours_operation_h_yr</f>
        <v>12675334.311585369</v>
      </c>
      <c r="L44" s="29">
        <f>dynamic_viscosity_of_water</f>
        <v>1.2999999999999999E-3</v>
      </c>
      <c r="M44" s="15">
        <f>outside_diameter</f>
        <v>0.71120000000000005</v>
      </c>
      <c r="N44" s="118">
        <f>fbe_wall__yr_1_mm/1000</f>
        <v>9.5299999999999985E-3</v>
      </c>
      <c r="O44" s="120">
        <f t="shared" si="4"/>
        <v>0.69214000000000009</v>
      </c>
      <c r="P44" s="118">
        <f>roughness_bare_yr_25_mm/1000</f>
        <v>7.1999999999999994E-4</v>
      </c>
      <c r="Q44" s="110">
        <f>S44*E44*O44/L44</f>
        <v>1020253.4744572043</v>
      </c>
      <c r="R44" s="49">
        <f t="shared" si="5"/>
        <v>700</v>
      </c>
      <c r="S44" s="29">
        <f>fluid_density</f>
        <v>1030</v>
      </c>
      <c r="T44" s="50">
        <f t="shared" si="6"/>
        <v>0.7</v>
      </c>
      <c r="U44" s="53">
        <f ca="1">1/SQRT(F44)</f>
        <v>7.0501296036588021</v>
      </c>
      <c r="V44" s="53">
        <f ca="1">-2 *LOG10(((P44) / (3.7 *O44)) + (2.51 / (Q44* SQRT(F44))))</f>
        <v>7.0501296036588021</v>
      </c>
      <c r="W44" s="54">
        <f t="shared" ca="1" si="7"/>
        <v>0</v>
      </c>
      <c r="X44" s="55"/>
      <c r="Y44" s="55"/>
    </row>
    <row r="45" spans="1:28">
      <c r="A45" s="22"/>
      <c r="B45" s="23"/>
      <c r="C45" s="24"/>
      <c r="D45" s="25"/>
      <c r="E45" s="24"/>
      <c r="F45" s="26"/>
      <c r="G45" s="27"/>
      <c r="H45" s="28"/>
      <c r="I45" s="28"/>
      <c r="J45" s="127">
        <f ca="1">NPV(annual_discount_rate,J20:J44)</f>
        <v>34275915.856788963</v>
      </c>
      <c r="K45" s="127">
        <f>NPV(annual_discount_rate,K20:K44)</f>
        <v>115054516.79069601</v>
      </c>
      <c r="L45" s="29"/>
      <c r="N45" s="31"/>
      <c r="O45" s="32"/>
      <c r="P45" s="31"/>
      <c r="Q45" s="30"/>
      <c r="R45" s="29"/>
      <c r="S45" s="29"/>
      <c r="U45" s="33"/>
      <c r="V45" s="33"/>
      <c r="W45" s="34"/>
      <c r="X45" s="35"/>
      <c r="Y45" s="35"/>
    </row>
    <row r="46" spans="1:28">
      <c r="A46" s="17"/>
      <c r="B46" s="17"/>
      <c r="C46" s="17"/>
      <c r="D46" s="17"/>
      <c r="E46" s="17"/>
      <c r="F46" s="17"/>
      <c r="G46" s="17"/>
      <c r="H46" s="17"/>
      <c r="I46" s="17"/>
      <c r="J46" s="128"/>
      <c r="K46" s="128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</row>
    <row r="47" spans="1:28" s="63" customFormat="1" ht="42" customHeight="1">
      <c r="A47" s="61" t="s">
        <v>75</v>
      </c>
      <c r="B47" s="61" t="s">
        <v>77</v>
      </c>
      <c r="C47" s="61" t="s">
        <v>79</v>
      </c>
      <c r="D47" s="61" t="s">
        <v>102</v>
      </c>
      <c r="E47" s="61" t="s">
        <v>106</v>
      </c>
      <c r="F47" s="61" t="s">
        <v>101</v>
      </c>
      <c r="G47" s="61" t="s">
        <v>74</v>
      </c>
      <c r="H47" s="61" t="s">
        <v>122</v>
      </c>
      <c r="I47" s="61" t="s">
        <v>121</v>
      </c>
      <c r="J47" s="129" t="s">
        <v>125</v>
      </c>
      <c r="K47" s="129" t="s">
        <v>126</v>
      </c>
      <c r="L47" s="62" t="s">
        <v>80</v>
      </c>
      <c r="M47" s="62" t="s">
        <v>107</v>
      </c>
      <c r="N47" s="62" t="s">
        <v>73</v>
      </c>
      <c r="O47" s="62" t="s">
        <v>108</v>
      </c>
      <c r="P47" s="62" t="s">
        <v>76</v>
      </c>
      <c r="Q47" s="62" t="s">
        <v>81</v>
      </c>
      <c r="R47" s="62" t="s">
        <v>78</v>
      </c>
      <c r="S47" s="62" t="s">
        <v>110</v>
      </c>
      <c r="T47" s="62" t="s">
        <v>100</v>
      </c>
      <c r="U47" s="62" t="s">
        <v>103</v>
      </c>
      <c r="V47" s="62" t="s">
        <v>104</v>
      </c>
      <c r="W47" s="62" t="s">
        <v>105</v>
      </c>
    </row>
    <row r="48" spans="1:28">
      <c r="A48" s="22">
        <v>1</v>
      </c>
      <c r="B48" s="57">
        <f t="shared" ref="B48:B72" si="10">P48*1000</f>
        <v>1.4999999999999999E-2</v>
      </c>
      <c r="C48" s="24">
        <f t="shared" ref="C48:C72" si="11">O48*1000</f>
        <v>692.1400000000001</v>
      </c>
      <c r="D48" s="25">
        <f t="shared" ref="D48:D72" si="12">N48*1000</f>
        <v>9.5299999999999994</v>
      </c>
      <c r="E48" s="24">
        <f t="shared" ref="E48:E72" si="13">T48/(PI()*(O48/2)^2)</f>
        <v>1.8604596757802316</v>
      </c>
      <c r="F48" s="26">
        <f ca="1">1/(-2*LOG10((P48/O48)/3.7 + 2.51/(Q48*SQRT(F48+1E-300))))^2</f>
        <v>1.2080472493308679E-2</v>
      </c>
      <c r="G48" s="27">
        <f ca="1">(F48 * pipeline_length * E48^2 ) / (2*gravitational_acceleration * O48)</f>
        <v>215.61445042854797</v>
      </c>
      <c r="H48" s="28">
        <f ca="1">(S48*gravitational_acceleration*T48*(G48)/(pump_efficiency))/1000</f>
        <v>1859.1736337350997</v>
      </c>
      <c r="I48" s="28">
        <f>(S48*gravitational_acceleration*T48*(Elevation_change)/(pump_efficiency))/1000</f>
        <v>8622.6764024390268</v>
      </c>
      <c r="J48" s="125">
        <f ca="1">H48*Projected_kWh*annual_hours_operation_h_yr</f>
        <v>2732985.2415905963</v>
      </c>
      <c r="K48" s="125">
        <f>I48*Projected_kWh*annual_hours_operation_h_yr</f>
        <v>12675334.311585369</v>
      </c>
      <c r="L48" s="29">
        <f>dynamic_viscosity_of_water</f>
        <v>1.2999999999999999E-3</v>
      </c>
      <c r="M48" s="15">
        <f>outside_diameter</f>
        <v>0.71120000000000005</v>
      </c>
      <c r="N48" s="31">
        <f>fbe_wall__yr_1_mm/1000</f>
        <v>9.5299999999999985E-3</v>
      </c>
      <c r="O48" s="32">
        <f t="shared" ref="O48:O72" si="14">M48-2*N48</f>
        <v>0.69214000000000009</v>
      </c>
      <c r="P48" s="122">
        <f>roughness_fbe_yr_1_mm/1000</f>
        <v>1.4999999999999999E-5</v>
      </c>
      <c r="Q48" s="30">
        <f>S48*E48*O48/L48</f>
        <v>1020253.4744572043</v>
      </c>
      <c r="R48" s="29">
        <f t="shared" ref="R48:R72" si="15">T48*1000</f>
        <v>700</v>
      </c>
      <c r="S48" s="29">
        <f>fluid_density</f>
        <v>1030</v>
      </c>
      <c r="T48" s="15">
        <f t="shared" ref="T48:T72" si="16">design_flow_rate</f>
        <v>0.7</v>
      </c>
      <c r="U48" s="33">
        <f ca="1">1/SQRT(F48)</f>
        <v>9.0982536342143128</v>
      </c>
      <c r="V48" s="33">
        <f ca="1">-2 *LOG10(((P48) / (3.7 *O48)) + (2.51 / (Q48* SQRT(F48))))</f>
        <v>9.0982536342143145</v>
      </c>
      <c r="W48" s="34">
        <f t="shared" ref="W48:W72" ca="1" si="17">V48-U48</f>
        <v>0</v>
      </c>
    </row>
    <row r="49" spans="1:23">
      <c r="A49" s="22">
        <v>2</v>
      </c>
      <c r="B49" s="57">
        <f t="shared" si="10"/>
        <v>1.5833333333333335E-2</v>
      </c>
      <c r="C49" s="24">
        <f t="shared" si="11"/>
        <v>692.1400000000001</v>
      </c>
      <c r="D49" s="25">
        <f t="shared" si="12"/>
        <v>9.5299999999999994</v>
      </c>
      <c r="E49" s="24">
        <f t="shared" si="13"/>
        <v>1.8604596757802316</v>
      </c>
      <c r="F49" s="26">
        <f t="shared" ref="F49:F72" ca="1" si="18">1/(-2*LOG10((P49/O49)/3.7 + 2.51/(Q49*SQRT(F49+1E-300))))^2</f>
        <v>1.2105096087116811E-2</v>
      </c>
      <c r="G49" s="27">
        <f ca="1">(F49 * pipeline_length * E49^2 ) / (2*gravitational_acceleration * O49)</f>
        <v>216.05393676895864</v>
      </c>
      <c r="H49" s="28">
        <f ca="1">(S49*gravitational_acceleration*T49*(G49)/(pump_efficiency))/1000</f>
        <v>1862.9631822317526</v>
      </c>
      <c r="I49" s="28">
        <f>(S49*gravitational_acceleration*T49*(Elevation_change)/(pump_efficiency))/1000</f>
        <v>8622.6764024390268</v>
      </c>
      <c r="J49" s="125">
        <f ca="1">H49*Projected_kWh*annual_hours_operation_h_yr</f>
        <v>2738555.8778806762</v>
      </c>
      <c r="K49" s="125">
        <f>I49*Projected_kWh*annual_hours_operation_h_yr</f>
        <v>12675334.311585369</v>
      </c>
      <c r="L49" s="29">
        <f>dynamic_viscosity_of_water</f>
        <v>1.2999999999999999E-3</v>
      </c>
      <c r="M49" s="15">
        <f>outside_diameter</f>
        <v>0.71120000000000005</v>
      </c>
      <c r="N49" s="31">
        <f>fbe_wall__yr_1_mm/1000</f>
        <v>9.5299999999999985E-3</v>
      </c>
      <c r="O49" s="32">
        <f t="shared" si="14"/>
        <v>0.69214000000000009</v>
      </c>
      <c r="P49" s="58">
        <f t="shared" ref="P49:P71" si="19">P48-(P$48-P$72)/24</f>
        <v>1.5833333333333333E-5</v>
      </c>
      <c r="Q49" s="30">
        <f>S49*E49*O49/L49</f>
        <v>1020253.4744572043</v>
      </c>
      <c r="R49" s="29">
        <f t="shared" si="15"/>
        <v>700</v>
      </c>
      <c r="S49" s="29">
        <f>fluid_density</f>
        <v>1030</v>
      </c>
      <c r="T49" s="15">
        <f t="shared" si="16"/>
        <v>0.7</v>
      </c>
      <c r="U49" s="33">
        <f ca="1">1/SQRT(F49)</f>
        <v>9.0889953125603373</v>
      </c>
      <c r="V49" s="33">
        <f ca="1">-2 *LOG10(((P49) / (3.7 *O49)) + (2.51 / (Q49* SQRT(F49))))</f>
        <v>9.0889953125603373</v>
      </c>
      <c r="W49" s="34">
        <f t="shared" ca="1" si="17"/>
        <v>0</v>
      </c>
    </row>
    <row r="50" spans="1:23">
      <c r="A50" s="22">
        <v>3</v>
      </c>
      <c r="B50" s="57">
        <f t="shared" si="10"/>
        <v>1.6666666666666666E-2</v>
      </c>
      <c r="C50" s="24">
        <f t="shared" si="11"/>
        <v>692.1400000000001</v>
      </c>
      <c r="D50" s="25">
        <f t="shared" si="12"/>
        <v>9.5299999999999994</v>
      </c>
      <c r="E50" s="24">
        <f t="shared" si="13"/>
        <v>1.8604596757802316</v>
      </c>
      <c r="F50" s="26">
        <f t="shared" ca="1" si="18"/>
        <v>1.2129552148912696E-2</v>
      </c>
      <c r="G50" s="27">
        <f ca="1">(F50 * pipeline_length * E50^2 ) / (2*gravitational_acceleration * O50)</f>
        <v>216.490432967819</v>
      </c>
      <c r="H50" s="28">
        <f ca="1">(S50*gravitational_acceleration*T50*(G50)/(pump_efficiency))/1000</f>
        <v>1866.7269477054203</v>
      </c>
      <c r="I50" s="28">
        <f>(S50*gravitational_acceleration*T50*(Elevation_change)/(pump_efficiency))/1000</f>
        <v>8622.6764024390268</v>
      </c>
      <c r="J50" s="125">
        <f ca="1">H50*Projected_kWh*annual_hours_operation_h_yr</f>
        <v>2744088.613126968</v>
      </c>
      <c r="K50" s="125">
        <f>I50*Projected_kWh*annual_hours_operation_h_yr</f>
        <v>12675334.311585369</v>
      </c>
      <c r="L50" s="29">
        <f>dynamic_viscosity_of_water</f>
        <v>1.2999999999999999E-3</v>
      </c>
      <c r="M50" s="15">
        <f>outside_diameter</f>
        <v>0.71120000000000005</v>
      </c>
      <c r="N50" s="31">
        <f>fbe_wall__yr_1_mm/1000</f>
        <v>9.5299999999999985E-3</v>
      </c>
      <c r="O50" s="32">
        <f t="shared" si="14"/>
        <v>0.69214000000000009</v>
      </c>
      <c r="P50" s="58">
        <f t="shared" si="19"/>
        <v>1.6666666666666667E-5</v>
      </c>
      <c r="Q50" s="30">
        <f>S50*E50*O50/L50</f>
        <v>1020253.4744572043</v>
      </c>
      <c r="R50" s="29">
        <f t="shared" si="15"/>
        <v>700</v>
      </c>
      <c r="S50" s="29">
        <f>fluid_density</f>
        <v>1030</v>
      </c>
      <c r="T50" s="15">
        <f t="shared" si="16"/>
        <v>0.7</v>
      </c>
      <c r="U50" s="33">
        <f ca="1">1/SQRT(F50)</f>
        <v>9.0798279012558361</v>
      </c>
      <c r="V50" s="33">
        <f ca="1">-2 *LOG10(((P50) / (3.7 *O50)) + (2.51 / (Q50* SQRT(F50))))</f>
        <v>9.0798279012558361</v>
      </c>
      <c r="W50" s="34">
        <f t="shared" ca="1" si="17"/>
        <v>0</v>
      </c>
    </row>
    <row r="51" spans="1:23">
      <c r="A51" s="22">
        <v>4</v>
      </c>
      <c r="B51" s="57">
        <f t="shared" si="10"/>
        <v>1.7500000000000002E-2</v>
      </c>
      <c r="C51" s="24">
        <f t="shared" si="11"/>
        <v>692.1400000000001</v>
      </c>
      <c r="D51" s="25">
        <f t="shared" si="12"/>
        <v>9.5299999999999994</v>
      </c>
      <c r="E51" s="24">
        <f t="shared" si="13"/>
        <v>1.8604596757802316</v>
      </c>
      <c r="F51" s="26">
        <f t="shared" ca="1" si="18"/>
        <v>1.2153843339691226E-2</v>
      </c>
      <c r="G51" s="27">
        <f ca="1">(F51 * pipeline_length * E51^2 ) / (2*gravitational_acceleration * O51)</f>
        <v>216.92398651904549</v>
      </c>
      <c r="H51" s="28">
        <f ca="1">(S51*gravitational_acceleration*T51*(G51)/(pump_efficiency))/1000</f>
        <v>1870.4653396807746</v>
      </c>
      <c r="I51" s="28">
        <f>(S51*gravitational_acceleration*T51*(Elevation_change)/(pump_efficiency))/1000</f>
        <v>8622.6764024390268</v>
      </c>
      <c r="J51" s="125">
        <f ca="1">H51*Projected_kWh*annual_hours_operation_h_yr</f>
        <v>2749584.0493307384</v>
      </c>
      <c r="K51" s="125">
        <f>I51*Projected_kWh*annual_hours_operation_h_yr</f>
        <v>12675334.311585369</v>
      </c>
      <c r="L51" s="29">
        <f>dynamic_viscosity_of_water</f>
        <v>1.2999999999999999E-3</v>
      </c>
      <c r="M51" s="15">
        <f>outside_diameter</f>
        <v>0.71120000000000005</v>
      </c>
      <c r="N51" s="31">
        <f>fbe_wall__yr_1_mm/1000</f>
        <v>9.5299999999999985E-3</v>
      </c>
      <c r="O51" s="32">
        <f t="shared" si="14"/>
        <v>0.69214000000000009</v>
      </c>
      <c r="P51" s="58">
        <f t="shared" si="19"/>
        <v>1.7500000000000002E-5</v>
      </c>
      <c r="Q51" s="30">
        <f>S51*E51*O51/L51</f>
        <v>1020253.4744572043</v>
      </c>
      <c r="R51" s="29">
        <f t="shared" si="15"/>
        <v>700</v>
      </c>
      <c r="S51" s="29">
        <f>fluid_density</f>
        <v>1030</v>
      </c>
      <c r="T51" s="15">
        <f t="shared" si="16"/>
        <v>0.7</v>
      </c>
      <c r="U51" s="33">
        <f ca="1">1/SQRT(F51)</f>
        <v>9.0707496968984636</v>
      </c>
      <c r="V51" s="33">
        <f ca="1">-2 *LOG10(((P51) / (3.7 *O51)) + (2.51 / (Q51* SQRT(F51))))</f>
        <v>9.0707496968984636</v>
      </c>
      <c r="W51" s="34">
        <f t="shared" ca="1" si="17"/>
        <v>0</v>
      </c>
    </row>
    <row r="52" spans="1:23">
      <c r="A52" s="22">
        <v>5</v>
      </c>
      <c r="B52" s="57">
        <f t="shared" si="10"/>
        <v>1.8333333333333337E-2</v>
      </c>
      <c r="C52" s="24">
        <f t="shared" si="11"/>
        <v>692.1400000000001</v>
      </c>
      <c r="D52" s="25">
        <f t="shared" si="12"/>
        <v>9.5299999999999994</v>
      </c>
      <c r="E52" s="24">
        <f t="shared" si="13"/>
        <v>1.8604596757802316</v>
      </c>
      <c r="F52" s="26">
        <f t="shared" ca="1" si="18"/>
        <v>1.2177972256432423E-2</v>
      </c>
      <c r="G52" s="27">
        <f ca="1">(F52 * pipeline_length * E52^2 ) / (2*gravitational_acceleration * O52)</f>
        <v>217.35464377400558</v>
      </c>
      <c r="H52" s="28">
        <f ca="1">(S52*gravitational_acceleration*T52*(G52)/(pump_efficiency))/1000</f>
        <v>1874.1787578306582</v>
      </c>
      <c r="I52" s="28">
        <f>(S52*gravitational_acceleration*T52*(Elevation_change)/(pump_efficiency))/1000</f>
        <v>8622.6764024390268</v>
      </c>
      <c r="J52" s="125">
        <f ca="1">H52*Projected_kWh*annual_hours_operation_h_yr</f>
        <v>2755042.7740110676</v>
      </c>
      <c r="K52" s="125">
        <f>I52*Projected_kWh*annual_hours_operation_h_yr</f>
        <v>12675334.311585369</v>
      </c>
      <c r="L52" s="29">
        <f>dynamic_viscosity_of_water</f>
        <v>1.2999999999999999E-3</v>
      </c>
      <c r="M52" s="15">
        <f>outside_diameter</f>
        <v>0.71120000000000005</v>
      </c>
      <c r="N52" s="31">
        <f>fbe_wall__yr_1_mm/1000</f>
        <v>9.5299999999999985E-3</v>
      </c>
      <c r="O52" s="32">
        <f t="shared" si="14"/>
        <v>0.69214000000000009</v>
      </c>
      <c r="P52" s="58">
        <f t="shared" si="19"/>
        <v>1.8333333333333336E-5</v>
      </c>
      <c r="Q52" s="30">
        <f>S52*E52*O52/L52</f>
        <v>1020253.4744572043</v>
      </c>
      <c r="R52" s="29">
        <f t="shared" si="15"/>
        <v>700</v>
      </c>
      <c r="S52" s="29">
        <f>fluid_density</f>
        <v>1030</v>
      </c>
      <c r="T52" s="15">
        <f t="shared" si="16"/>
        <v>0.7</v>
      </c>
      <c r="U52" s="33">
        <f ca="1">1/SQRT(F52)</f>
        <v>9.0617590422654217</v>
      </c>
      <c r="V52" s="33">
        <f ca="1">-2 *LOG10(((P52) / (3.7 *O52)) + (2.51 / (Q52* SQRT(F52))))</f>
        <v>9.0617590422654217</v>
      </c>
      <c r="W52" s="34">
        <f t="shared" ca="1" si="17"/>
        <v>0</v>
      </c>
    </row>
    <row r="53" spans="1:23">
      <c r="A53" s="22">
        <v>6</v>
      </c>
      <c r="B53" s="57">
        <f t="shared" si="10"/>
        <v>1.9166666666666672E-2</v>
      </c>
      <c r="C53" s="24">
        <f t="shared" si="11"/>
        <v>692.1400000000001</v>
      </c>
      <c r="D53" s="25">
        <f t="shared" si="12"/>
        <v>9.5299999999999994</v>
      </c>
      <c r="E53" s="24">
        <f t="shared" si="13"/>
        <v>1.8604596757802316</v>
      </c>
      <c r="F53" s="26">
        <f t="shared" ca="1" si="18"/>
        <v>1.2201941434128168E-2</v>
      </c>
      <c r="G53" s="27">
        <f ca="1">(F53 * pipeline_length * E53^2 ) / (2*gravitational_acceleration * O53)</f>
        <v>217.7824499776913</v>
      </c>
      <c r="H53" s="28">
        <f ca="1">(S53*gravitational_acceleration*T53*(G53)/(pump_efficiency))/1000</f>
        <v>1877.8675922879961</v>
      </c>
      <c r="I53" s="28">
        <f>(S53*gravitational_acceleration*T53*(Elevation_change)/(pump_efficiency))/1000</f>
        <v>8622.6764024390268</v>
      </c>
      <c r="J53" s="125">
        <f ca="1">H53*Projected_kWh*annual_hours_operation_h_yr</f>
        <v>2760465.3606633544</v>
      </c>
      <c r="K53" s="125">
        <f>I53*Projected_kWh*annual_hours_operation_h_yr</f>
        <v>12675334.311585369</v>
      </c>
      <c r="L53" s="29">
        <f>dynamic_viscosity_of_water</f>
        <v>1.2999999999999999E-3</v>
      </c>
      <c r="M53" s="15">
        <f>outside_diameter</f>
        <v>0.71120000000000005</v>
      </c>
      <c r="N53" s="31">
        <f>fbe_wall__yr_1_mm/1000</f>
        <v>9.5299999999999985E-3</v>
      </c>
      <c r="O53" s="32">
        <f t="shared" si="14"/>
        <v>0.69214000000000009</v>
      </c>
      <c r="P53" s="58">
        <f t="shared" si="19"/>
        <v>1.9166666666666671E-5</v>
      </c>
      <c r="Q53" s="30">
        <f>S53*E53*O53/L53</f>
        <v>1020253.4744572043</v>
      </c>
      <c r="R53" s="29">
        <f t="shared" si="15"/>
        <v>700</v>
      </c>
      <c r="S53" s="29">
        <f>fluid_density</f>
        <v>1030</v>
      </c>
      <c r="T53" s="15">
        <f t="shared" si="16"/>
        <v>0.7</v>
      </c>
      <c r="U53" s="33">
        <f ca="1">1/SQRT(F53)</f>
        <v>9.0528543246951543</v>
      </c>
      <c r="V53" s="33">
        <f ca="1">-2 *LOG10(((P53) / (3.7 *O53)) + (2.51 / (Q53* SQRT(F53))))</f>
        <v>9.0528543246951543</v>
      </c>
      <c r="W53" s="34">
        <f t="shared" ca="1" si="17"/>
        <v>0</v>
      </c>
    </row>
    <row r="54" spans="1:23">
      <c r="A54" s="22">
        <v>7</v>
      </c>
      <c r="B54" s="57">
        <f t="shared" si="10"/>
        <v>2.0000000000000004E-2</v>
      </c>
      <c r="C54" s="24">
        <f t="shared" si="11"/>
        <v>692.1400000000001</v>
      </c>
      <c r="D54" s="25">
        <f t="shared" si="12"/>
        <v>9.5299999999999994</v>
      </c>
      <c r="E54" s="24">
        <f t="shared" si="13"/>
        <v>1.8604596757802316</v>
      </c>
      <c r="F54" s="26">
        <f t="shared" ca="1" si="18"/>
        <v>1.2225753347730416E-2</v>
      </c>
      <c r="G54" s="27">
        <f ca="1">(F54 * pipeline_length * E54^2 ) / (2*gravitational_acceleration * O54)</f>
        <v>218.20744930349127</v>
      </c>
      <c r="H54" s="28">
        <f ca="1">(S54*gravitational_acceleration*T54*(G54)/(pump_efficiency))/1000</f>
        <v>1881.5322239456239</v>
      </c>
      <c r="I54" s="28">
        <f>(S54*gravitational_acceleration*T54*(Elevation_change)/(pump_efficiency))/1000</f>
        <v>8622.6764024390268</v>
      </c>
      <c r="J54" s="125">
        <f ca="1">H54*Projected_kWh*annual_hours_operation_h_yr</f>
        <v>2765852.3692000667</v>
      </c>
      <c r="K54" s="125">
        <f>I54*Projected_kWh*annual_hours_operation_h_yr</f>
        <v>12675334.311585369</v>
      </c>
      <c r="L54" s="29">
        <f>dynamic_viscosity_of_water</f>
        <v>1.2999999999999999E-3</v>
      </c>
      <c r="M54" s="15">
        <f>outside_diameter</f>
        <v>0.71120000000000005</v>
      </c>
      <c r="N54" s="31">
        <f>fbe_wall__yr_1_mm/1000</f>
        <v>9.5299999999999985E-3</v>
      </c>
      <c r="O54" s="32">
        <f t="shared" si="14"/>
        <v>0.69214000000000009</v>
      </c>
      <c r="P54" s="58">
        <f t="shared" si="19"/>
        <v>2.0000000000000005E-5</v>
      </c>
      <c r="Q54" s="30">
        <f>S54*E54*O54/L54</f>
        <v>1020253.4744572043</v>
      </c>
      <c r="R54" s="29">
        <f t="shared" si="15"/>
        <v>700</v>
      </c>
      <c r="S54" s="29">
        <f>fluid_density</f>
        <v>1030</v>
      </c>
      <c r="T54" s="15">
        <f t="shared" si="16"/>
        <v>0.7</v>
      </c>
      <c r="U54" s="33">
        <f ca="1">1/SQRT(F54)</f>
        <v>9.044033974537955</v>
      </c>
      <c r="V54" s="33">
        <f ca="1">-2 *LOG10(((P54) / (3.7 *O54)) + (2.51 / (Q54* SQRT(F54))))</f>
        <v>9.044033974537955</v>
      </c>
      <c r="W54" s="34">
        <f t="shared" ca="1" si="17"/>
        <v>0</v>
      </c>
    </row>
    <row r="55" spans="1:23">
      <c r="A55" s="22">
        <v>8</v>
      </c>
      <c r="B55" s="57">
        <f t="shared" si="10"/>
        <v>2.0833333333333339E-2</v>
      </c>
      <c r="C55" s="24">
        <f t="shared" si="11"/>
        <v>692.1400000000001</v>
      </c>
      <c r="D55" s="25">
        <f t="shared" si="12"/>
        <v>9.5299999999999994</v>
      </c>
      <c r="E55" s="24">
        <f t="shared" si="13"/>
        <v>1.8604596757802316</v>
      </c>
      <c r="F55" s="26">
        <f t="shared" ca="1" si="18"/>
        <v>1.2249410414024471E-2</v>
      </c>
      <c r="G55" s="27">
        <f ca="1">(F55 * pipeline_length * E55^2 ) / (2*gravitational_acceleration * O55)</f>
        <v>218.62968488662509</v>
      </c>
      <c r="H55" s="28">
        <f ca="1">(S55*gravitational_acceleration*T55*(G55)/(pump_efficiency))/1000</f>
        <v>1885.1730247445821</v>
      </c>
      <c r="I55" s="28">
        <f>(S55*gravitational_acceleration*T55*(Elevation_change)/(pump_efficiency))/1000</f>
        <v>8622.6764024390268</v>
      </c>
      <c r="J55" s="125">
        <f ca="1">H55*Projected_kWh*annual_hours_operation_h_yr</f>
        <v>2771204.3463745355</v>
      </c>
      <c r="K55" s="125">
        <f>I55*Projected_kWh*annual_hours_operation_h_yr</f>
        <v>12675334.311585369</v>
      </c>
      <c r="L55" s="29">
        <f>dynamic_viscosity_of_water</f>
        <v>1.2999999999999999E-3</v>
      </c>
      <c r="M55" s="15">
        <f>outside_diameter</f>
        <v>0.71120000000000005</v>
      </c>
      <c r="N55" s="31">
        <f>fbe_wall__yr_1_mm/1000</f>
        <v>9.5299999999999985E-3</v>
      </c>
      <c r="O55" s="32">
        <f t="shared" si="14"/>
        <v>0.69214000000000009</v>
      </c>
      <c r="P55" s="58">
        <f t="shared" si="19"/>
        <v>2.0833333333333339E-5</v>
      </c>
      <c r="Q55" s="30">
        <f>S55*E55*O55/L55</f>
        <v>1020253.4744572043</v>
      </c>
      <c r="R55" s="29">
        <f t="shared" si="15"/>
        <v>700</v>
      </c>
      <c r="S55" s="29">
        <f>fluid_density</f>
        <v>1030</v>
      </c>
      <c r="T55" s="15">
        <f t="shared" si="16"/>
        <v>0.7</v>
      </c>
      <c r="U55" s="33">
        <f ca="1">1/SQRT(F55)</f>
        <v>9.0352964636720507</v>
      </c>
      <c r="V55" s="33">
        <f ca="1">-2 *LOG10(((P55) / (3.7 *O55)) + (2.51 / (Q55* SQRT(F55))))</f>
        <v>9.0352964636720507</v>
      </c>
      <c r="W55" s="34">
        <f t="shared" ca="1" si="17"/>
        <v>0</v>
      </c>
    </row>
    <row r="56" spans="1:23">
      <c r="A56" s="22">
        <v>9</v>
      </c>
      <c r="B56" s="57">
        <f t="shared" si="10"/>
        <v>2.1666666666666674E-2</v>
      </c>
      <c r="C56" s="24">
        <f t="shared" si="11"/>
        <v>692.1400000000001</v>
      </c>
      <c r="D56" s="25">
        <f t="shared" si="12"/>
        <v>9.5299999999999994</v>
      </c>
      <c r="E56" s="24">
        <f t="shared" si="13"/>
        <v>1.8604596757802316</v>
      </c>
      <c r="F56" s="26">
        <f t="shared" ca="1" si="18"/>
        <v>1.2272914993430669E-2</v>
      </c>
      <c r="G56" s="27">
        <f ca="1">(F56 * pipeline_length * E56^2 ) / (2*gravitational_acceleration * O56)</f>
        <v>219.04919885630039</v>
      </c>
      <c r="H56" s="28">
        <f ca="1">(S56*gravitational_acceleration*T56*(G56)/(pump_efficiency))/1000</f>
        <v>1888.790357951395</v>
      </c>
      <c r="I56" s="28">
        <f>(S56*gravitational_acceleration*T56*(Elevation_change)/(pump_efficiency))/1000</f>
        <v>8622.6764024390268</v>
      </c>
      <c r="J56" s="125">
        <f ca="1">H56*Projected_kWh*annual_hours_operation_h_yr</f>
        <v>2776521.8261885503</v>
      </c>
      <c r="K56" s="125">
        <f>I56*Projected_kWh*annual_hours_operation_h_yr</f>
        <v>12675334.311585369</v>
      </c>
      <c r="L56" s="29">
        <f>dynamic_viscosity_of_water</f>
        <v>1.2999999999999999E-3</v>
      </c>
      <c r="M56" s="15">
        <f>outside_diameter</f>
        <v>0.71120000000000005</v>
      </c>
      <c r="N56" s="31">
        <f>fbe_wall__yr_1_mm/1000</f>
        <v>9.5299999999999985E-3</v>
      </c>
      <c r="O56" s="32">
        <f t="shared" si="14"/>
        <v>0.69214000000000009</v>
      </c>
      <c r="P56" s="58">
        <f t="shared" si="19"/>
        <v>2.1666666666666674E-5</v>
      </c>
      <c r="Q56" s="30">
        <f>S56*E56*O56/L56</f>
        <v>1020253.4744572043</v>
      </c>
      <c r="R56" s="29">
        <f t="shared" si="15"/>
        <v>700</v>
      </c>
      <c r="S56" s="29">
        <f>fluid_density</f>
        <v>1030</v>
      </c>
      <c r="T56" s="15">
        <f t="shared" si="16"/>
        <v>0.7</v>
      </c>
      <c r="U56" s="33">
        <f ca="1">1/SQRT(F56)</f>
        <v>9.0266403040819423</v>
      </c>
      <c r="V56" s="33">
        <f ca="1">-2 *LOG10(((P56) / (3.7 *O56)) + (2.51 / (Q56* SQRT(F56))))</f>
        <v>9.0266403040819423</v>
      </c>
      <c r="W56" s="34">
        <f t="shared" ca="1" si="17"/>
        <v>0</v>
      </c>
    </row>
    <row r="57" spans="1:23">
      <c r="A57" s="22">
        <v>10</v>
      </c>
      <c r="B57" s="57">
        <f t="shared" si="10"/>
        <v>2.250000000000001E-2</v>
      </c>
      <c r="C57" s="24">
        <f t="shared" si="11"/>
        <v>692.1400000000001</v>
      </c>
      <c r="D57" s="25">
        <f t="shared" si="12"/>
        <v>9.5299999999999994</v>
      </c>
      <c r="E57" s="24">
        <f t="shared" si="13"/>
        <v>1.8604596757802316</v>
      </c>
      <c r="F57" s="26">
        <f t="shared" ca="1" si="18"/>
        <v>1.2296269391737658E-2</v>
      </c>
      <c r="G57" s="27">
        <f ca="1">(F57 * pipeline_length * E57^2 ) / (2*gravitational_acceleration * O57)</f>
        <v>219.46603236664865</v>
      </c>
      <c r="H57" s="28">
        <f ca="1">(S57*gravitational_acceleration*T57*(G57)/(pump_efficiency))/1000</f>
        <v>1892.3845784248206</v>
      </c>
      <c r="I57" s="28">
        <f>(S57*gravitational_acceleration*T57*(Elevation_change)/(pump_efficiency))/1000</f>
        <v>8622.6764024390268</v>
      </c>
      <c r="J57" s="125">
        <f ca="1">H57*Projected_kWh*annual_hours_operation_h_yr</f>
        <v>2781805.3302844861</v>
      </c>
      <c r="K57" s="125">
        <f>I57*Projected_kWh*annual_hours_operation_h_yr</f>
        <v>12675334.311585369</v>
      </c>
      <c r="L57" s="29">
        <f>dynamic_viscosity_of_water</f>
        <v>1.2999999999999999E-3</v>
      </c>
      <c r="M57" s="15">
        <f>outside_diameter</f>
        <v>0.71120000000000005</v>
      </c>
      <c r="N57" s="31">
        <f>fbe_wall__yr_1_mm/1000</f>
        <v>9.5299999999999985E-3</v>
      </c>
      <c r="O57" s="32">
        <f t="shared" si="14"/>
        <v>0.69214000000000009</v>
      </c>
      <c r="P57" s="58">
        <f t="shared" si="19"/>
        <v>2.2500000000000008E-5</v>
      </c>
      <c r="Q57" s="30">
        <f>S57*E57*O57/L57</f>
        <v>1020253.4744572043</v>
      </c>
      <c r="R57" s="29">
        <f t="shared" si="15"/>
        <v>700</v>
      </c>
      <c r="S57" s="29">
        <f>fluid_density</f>
        <v>1030</v>
      </c>
      <c r="T57" s="15">
        <f t="shared" si="16"/>
        <v>0.7</v>
      </c>
      <c r="U57" s="33">
        <f ca="1">1/SQRT(F57)</f>
        <v>9.0180640464959403</v>
      </c>
      <c r="V57" s="33">
        <f ca="1">-2 *LOG10(((P57) / (3.7 *O57)) + (2.51 / (Q57* SQRT(F57))))</f>
        <v>9.0180640464959403</v>
      </c>
      <c r="W57" s="34">
        <f t="shared" ca="1" si="17"/>
        <v>0</v>
      </c>
    </row>
    <row r="58" spans="1:23">
      <c r="A58" s="22">
        <v>11</v>
      </c>
      <c r="B58" s="57">
        <f t="shared" si="10"/>
        <v>2.3333333333333341E-2</v>
      </c>
      <c r="C58" s="24">
        <f t="shared" si="11"/>
        <v>692.1400000000001</v>
      </c>
      <c r="D58" s="25">
        <f t="shared" si="12"/>
        <v>9.5299999999999994</v>
      </c>
      <c r="E58" s="24">
        <f t="shared" si="13"/>
        <v>1.8604596757802316</v>
      </c>
      <c r="F58" s="26">
        <f t="shared" ca="1" si="18"/>
        <v>1.2319475861770398E-2</v>
      </c>
      <c r="G58" s="27">
        <f ca="1">(F58 * pipeline_length * E58^2 ) / (2*gravitational_acceleration * O58)</f>
        <v>219.88022562649567</v>
      </c>
      <c r="H58" s="28">
        <f ca="1">(S58*gravitational_acceleration*T58*(G58)/(pump_efficiency))/1000</f>
        <v>1895.9560328725527</v>
      </c>
      <c r="I58" s="28">
        <f>(S58*gravitational_acceleration*T58*(Elevation_change)/(pump_efficiency))/1000</f>
        <v>8622.6764024390268</v>
      </c>
      <c r="J58" s="125">
        <f ca="1">H58*Projected_kWh*annual_hours_operation_h_yr</f>
        <v>2787055.3683226523</v>
      </c>
      <c r="K58" s="125">
        <f>I58*Projected_kWh*annual_hours_operation_h_yr</f>
        <v>12675334.311585369</v>
      </c>
      <c r="L58" s="29">
        <f>dynamic_viscosity_of_water</f>
        <v>1.2999999999999999E-3</v>
      </c>
      <c r="M58" s="15">
        <f>outside_diameter</f>
        <v>0.71120000000000005</v>
      </c>
      <c r="N58" s="31">
        <f>fbe_wall__yr_1_mm/1000</f>
        <v>9.5299999999999985E-3</v>
      </c>
      <c r="O58" s="32">
        <f t="shared" si="14"/>
        <v>0.69214000000000009</v>
      </c>
      <c r="P58" s="58">
        <f t="shared" si="19"/>
        <v>2.3333333333333343E-5</v>
      </c>
      <c r="Q58" s="30">
        <f>S58*E58*O58/L58</f>
        <v>1020253.4744572043</v>
      </c>
      <c r="R58" s="29">
        <f t="shared" si="15"/>
        <v>700</v>
      </c>
      <c r="S58" s="29">
        <f>fluid_density</f>
        <v>1030</v>
      </c>
      <c r="T58" s="15">
        <f t="shared" si="16"/>
        <v>0.7</v>
      </c>
      <c r="U58" s="33">
        <f ca="1">1/SQRT(F58)</f>
        <v>9.0095662790800066</v>
      </c>
      <c r="V58" s="33">
        <f ca="1">-2 *LOG10(((P58) / (3.7 *O58)) + (2.51 / (Q58* SQRT(F58))))</f>
        <v>9.0095662790800066</v>
      </c>
      <c r="W58" s="34">
        <f t="shared" ca="1" si="17"/>
        <v>0</v>
      </c>
    </row>
    <row r="59" spans="1:23">
      <c r="A59" s="22">
        <v>12</v>
      </c>
      <c r="B59" s="57">
        <f t="shared" si="10"/>
        <v>2.4166666666666677E-2</v>
      </c>
      <c r="C59" s="24">
        <f t="shared" si="11"/>
        <v>692.1400000000001</v>
      </c>
      <c r="D59" s="25">
        <f t="shared" si="12"/>
        <v>9.5299999999999994</v>
      </c>
      <c r="E59" s="24">
        <f t="shared" si="13"/>
        <v>1.8604596757802316</v>
      </c>
      <c r="F59" s="26">
        <f t="shared" ca="1" si="18"/>
        <v>1.234253660499561E-2</v>
      </c>
      <c r="G59" s="27">
        <f ca="1">(F59 * pipeline_length * E59^2 ) / (2*gravitational_acceleration * O59)</f>
        <v>220.29181792801631</v>
      </c>
      <c r="H59" s="28">
        <f ca="1">(S59*gravitational_acceleration*T59*(G59)/(pump_efficiency))/1000</f>
        <v>1899.5050600983004</v>
      </c>
      <c r="I59" s="28">
        <f>(S59*gravitational_acceleration*T59*(Elevation_change)/(pump_efficiency))/1000</f>
        <v>8622.6764024390268</v>
      </c>
      <c r="J59" s="125">
        <f ca="1">H59*Projected_kWh*annual_hours_operation_h_yr</f>
        <v>2792272.4383445014</v>
      </c>
      <c r="K59" s="125">
        <f>I59*Projected_kWh*annual_hours_operation_h_yr</f>
        <v>12675334.311585369</v>
      </c>
      <c r="L59" s="29">
        <f>dynamic_viscosity_of_water</f>
        <v>1.2999999999999999E-3</v>
      </c>
      <c r="M59" s="15">
        <f>outside_diameter</f>
        <v>0.71120000000000005</v>
      </c>
      <c r="N59" s="31">
        <f>fbe_wall__yr_1_mm/1000</f>
        <v>9.5299999999999985E-3</v>
      </c>
      <c r="O59" s="32">
        <f t="shared" si="14"/>
        <v>0.69214000000000009</v>
      </c>
      <c r="P59" s="58">
        <f t="shared" si="19"/>
        <v>2.4166666666666677E-5</v>
      </c>
      <c r="Q59" s="30">
        <f>S59*E59*O59/L59</f>
        <v>1020253.4744572043</v>
      </c>
      <c r="R59" s="29">
        <f t="shared" si="15"/>
        <v>700</v>
      </c>
      <c r="S59" s="29">
        <f>fluid_density</f>
        <v>1030</v>
      </c>
      <c r="T59" s="15">
        <f t="shared" si="16"/>
        <v>0.7</v>
      </c>
      <c r="U59" s="33">
        <f ca="1">1/SQRT(F59)</f>
        <v>9.0011456261852061</v>
      </c>
      <c r="V59" s="33">
        <f ca="1">-2 *LOG10(((P59) / (3.7 *O59)) + (2.51 / (Q59* SQRT(F59))))</f>
        <v>9.0011456261852043</v>
      </c>
      <c r="W59" s="34">
        <f t="shared" ca="1" si="17"/>
        <v>0</v>
      </c>
    </row>
    <row r="60" spans="1:23">
      <c r="A60" s="22">
        <v>13</v>
      </c>
      <c r="B60" s="57">
        <f t="shared" si="10"/>
        <v>2.5000000000000012E-2</v>
      </c>
      <c r="C60" s="24">
        <f t="shared" si="11"/>
        <v>692.1400000000001</v>
      </c>
      <c r="D60" s="25">
        <f t="shared" si="12"/>
        <v>9.5299999999999994</v>
      </c>
      <c r="E60" s="24">
        <f t="shared" si="13"/>
        <v>1.8604596757802316</v>
      </c>
      <c r="F60" s="26">
        <f t="shared" ca="1" si="18"/>
        <v>1.2365453773067607E-2</v>
      </c>
      <c r="G60" s="27">
        <f ca="1">(F60 * pipeline_length * E60^2 ) / (2*gravitational_acceleration * O60)</f>
        <v>220.70084767432456</v>
      </c>
      <c r="H60" s="28">
        <f ca="1">(S60*gravitational_acceleration*T60*(G60)/(pump_efficiency))/1000</f>
        <v>1903.0319912396881</v>
      </c>
      <c r="I60" s="28">
        <f>(S60*gravitational_acceleration*T60*(Elevation_change)/(pump_efficiency))/1000</f>
        <v>8622.6764024390268</v>
      </c>
      <c r="J60" s="125">
        <f ca="1">H60*Projected_kWh*annual_hours_operation_h_yr</f>
        <v>2797457.0271223411</v>
      </c>
      <c r="K60" s="125">
        <f>I60*Projected_kWh*annual_hours_operation_h_yr</f>
        <v>12675334.311585369</v>
      </c>
      <c r="L60" s="29">
        <f>dynamic_viscosity_of_water</f>
        <v>1.2999999999999999E-3</v>
      </c>
      <c r="M60" s="15">
        <f>outside_diameter</f>
        <v>0.71120000000000005</v>
      </c>
      <c r="N60" s="31">
        <f>fbe_wall__yr_1_mm/1000</f>
        <v>9.5299999999999985E-3</v>
      </c>
      <c r="O60" s="32">
        <f t="shared" si="14"/>
        <v>0.69214000000000009</v>
      </c>
      <c r="P60" s="58">
        <f t="shared" si="19"/>
        <v>2.5000000000000011E-5</v>
      </c>
      <c r="Q60" s="30">
        <f>S60*E60*O60/L60</f>
        <v>1020253.4744572043</v>
      </c>
      <c r="R60" s="29">
        <f t="shared" si="15"/>
        <v>700</v>
      </c>
      <c r="S60" s="29">
        <f>fluid_density</f>
        <v>1030</v>
      </c>
      <c r="T60" s="15">
        <f t="shared" si="16"/>
        <v>0.7</v>
      </c>
      <c r="U60" s="33">
        <f ca="1">1/SQRT(F60)</f>
        <v>8.992800747146152</v>
      </c>
      <c r="V60" s="33">
        <f ca="1">-2 *LOG10(((P60) / (3.7 *O60)) + (2.51 / (Q60* SQRT(F60))))</f>
        <v>8.992800747146152</v>
      </c>
      <c r="W60" s="34">
        <f t="shared" ca="1" si="17"/>
        <v>0</v>
      </c>
    </row>
    <row r="61" spans="1:23">
      <c r="A61" s="22">
        <v>14</v>
      </c>
      <c r="B61" s="57">
        <f t="shared" si="10"/>
        <v>2.5833333333333347E-2</v>
      </c>
      <c r="C61" s="24">
        <f t="shared" si="11"/>
        <v>692.1400000000001</v>
      </c>
      <c r="D61" s="25">
        <f t="shared" si="12"/>
        <v>9.5299999999999994</v>
      </c>
      <c r="E61" s="24">
        <f t="shared" si="13"/>
        <v>1.8604596757802316</v>
      </c>
      <c r="F61" s="26">
        <f t="shared" ca="1" si="18"/>
        <v>1.2388229469316909E-2</v>
      </c>
      <c r="G61" s="27">
        <f ca="1">(F61 * pipeline_length * E61^2 ) / (2*gravitational_acceleration * O61)</f>
        <v>221.10735240604274</v>
      </c>
      <c r="H61" s="28">
        <f ca="1">(S61*gravitational_acceleration*T61*(G61)/(pump_efficiency))/1000</f>
        <v>1906.5371499973542</v>
      </c>
      <c r="I61" s="28">
        <f>(S61*gravitational_acceleration*T61*(Elevation_change)/(pump_efficiency))/1000</f>
        <v>8622.6764024390268</v>
      </c>
      <c r="J61" s="125">
        <f ca="1">H61*Projected_kWh*annual_hours_operation_h_yr</f>
        <v>2802609.6104961107</v>
      </c>
      <c r="K61" s="125">
        <f>I61*Projected_kWh*annual_hours_operation_h_yr</f>
        <v>12675334.311585369</v>
      </c>
      <c r="L61" s="29">
        <f>dynamic_viscosity_of_water</f>
        <v>1.2999999999999999E-3</v>
      </c>
      <c r="M61" s="15">
        <f>outside_diameter</f>
        <v>0.71120000000000005</v>
      </c>
      <c r="N61" s="31">
        <f>fbe_wall__yr_1_mm/1000</f>
        <v>9.5299999999999985E-3</v>
      </c>
      <c r="O61" s="32">
        <f t="shared" si="14"/>
        <v>0.69214000000000009</v>
      </c>
      <c r="P61" s="58">
        <f t="shared" si="19"/>
        <v>2.5833333333333346E-5</v>
      </c>
      <c r="Q61" s="30">
        <f>S61*E61*O61/L61</f>
        <v>1020253.4744572043</v>
      </c>
      <c r="R61" s="29">
        <f t="shared" si="15"/>
        <v>700</v>
      </c>
      <c r="S61" s="29">
        <f>fluid_density</f>
        <v>1030</v>
      </c>
      <c r="T61" s="15">
        <f t="shared" si="16"/>
        <v>0.7</v>
      </c>
      <c r="U61" s="33">
        <f ca="1">1/SQRT(F61)</f>
        <v>8.9845303351280652</v>
      </c>
      <c r="V61" s="33">
        <f ca="1">-2 *LOG10(((P61) / (3.7 *O61)) + (2.51 / (Q61* SQRT(F61))))</f>
        <v>8.9845303351280652</v>
      </c>
      <c r="W61" s="34">
        <f t="shared" ca="1" si="17"/>
        <v>0</v>
      </c>
    </row>
    <row r="62" spans="1:23">
      <c r="A62" s="22">
        <v>15</v>
      </c>
      <c r="B62" s="57">
        <f t="shared" si="10"/>
        <v>2.6666666666666679E-2</v>
      </c>
      <c r="C62" s="24">
        <f t="shared" si="11"/>
        <v>692.1400000000001</v>
      </c>
      <c r="D62" s="25">
        <f t="shared" si="12"/>
        <v>9.5299999999999994</v>
      </c>
      <c r="E62" s="24">
        <f t="shared" si="13"/>
        <v>1.8604596757802316</v>
      </c>
      <c r="F62" s="26">
        <f t="shared" ca="1" si="18"/>
        <v>1.2410865750184319E-2</v>
      </c>
      <c r="G62" s="27">
        <f ca="1">(F62 * pipeline_length * E62^2 ) / (2*gravitational_acceleration * O62)</f>
        <v>221.51136882689681</v>
      </c>
      <c r="H62" s="28">
        <f ca="1">(S62*gravitational_acceleration*T62*(G62)/(pump_efficiency))/1000</f>
        <v>1910.0208528556507</v>
      </c>
      <c r="I62" s="28">
        <f>(S62*gravitational_acceleration*T62*(Elevation_change)/(pump_efficiency))/1000</f>
        <v>8622.6764024390268</v>
      </c>
      <c r="J62" s="125">
        <f ca="1">H62*Projected_kWh*annual_hours_operation_h_yr</f>
        <v>2807730.6536978059</v>
      </c>
      <c r="K62" s="125">
        <f>I62*Projected_kWh*annual_hours_operation_h_yr</f>
        <v>12675334.311585369</v>
      </c>
      <c r="L62" s="29">
        <f>dynamic_viscosity_of_water</f>
        <v>1.2999999999999999E-3</v>
      </c>
      <c r="M62" s="15">
        <f>outside_diameter</f>
        <v>0.71120000000000005</v>
      </c>
      <c r="N62" s="31">
        <f>fbe_wall__yr_1_mm/1000</f>
        <v>9.5299999999999985E-3</v>
      </c>
      <c r="O62" s="32">
        <f t="shared" si="14"/>
        <v>0.69214000000000009</v>
      </c>
      <c r="P62" s="58">
        <f t="shared" si="19"/>
        <v>2.666666666666668E-5</v>
      </c>
      <c r="Q62" s="30">
        <f>S62*E62*O62/L62</f>
        <v>1020253.4744572043</v>
      </c>
      <c r="R62" s="29">
        <f t="shared" si="15"/>
        <v>700</v>
      </c>
      <c r="S62" s="29">
        <f>fluid_density</f>
        <v>1030</v>
      </c>
      <c r="T62" s="15">
        <f t="shared" si="16"/>
        <v>0.7</v>
      </c>
      <c r="U62" s="33">
        <f ca="1">1/SQRT(F62)</f>
        <v>8.976333116020097</v>
      </c>
      <c r="V62" s="33">
        <f ca="1">-2 *LOG10(((P62) / (3.7 *O62)) + (2.51 / (Q62* SQRT(F62))))</f>
        <v>8.976333116020097</v>
      </c>
      <c r="W62" s="34">
        <f t="shared" ca="1" si="17"/>
        <v>0</v>
      </c>
    </row>
    <row r="63" spans="1:23">
      <c r="A63" s="22">
        <v>16</v>
      </c>
      <c r="B63" s="57">
        <f t="shared" si="10"/>
        <v>2.7500000000000014E-2</v>
      </c>
      <c r="C63" s="24">
        <f t="shared" si="11"/>
        <v>692.1400000000001</v>
      </c>
      <c r="D63" s="25">
        <f t="shared" si="12"/>
        <v>9.5299999999999994</v>
      </c>
      <c r="E63" s="24">
        <f t="shared" si="13"/>
        <v>1.8604596757802316</v>
      </c>
      <c r="F63" s="26">
        <f t="shared" ca="1" si="18"/>
        <v>1.2433364626602623E-2</v>
      </c>
      <c r="G63" s="27">
        <f ca="1">(F63 * pipeline_length * E63^2 ) / (2*gravitational_acceleration * O63)</f>
        <v>221.91293282837768</v>
      </c>
      <c r="H63" s="28">
        <f ca="1">(S63*gravitational_acceleration*T63*(G63)/(pump_efficiency))/1000</f>
        <v>1913.4834092952885</v>
      </c>
      <c r="I63" s="28">
        <f>(S63*gravitational_acceleration*T63*(Elevation_change)/(pump_efficiency))/1000</f>
        <v>8622.6764024390268</v>
      </c>
      <c r="J63" s="125">
        <f ca="1">H63*Projected_kWh*annual_hours_operation_h_yr</f>
        <v>2812820.611664074</v>
      </c>
      <c r="K63" s="125">
        <f>I63*Projected_kWh*annual_hours_operation_h_yr</f>
        <v>12675334.311585369</v>
      </c>
      <c r="L63" s="29">
        <f>dynamic_viscosity_of_water</f>
        <v>1.2999999999999999E-3</v>
      </c>
      <c r="M63" s="15">
        <f>outside_diameter</f>
        <v>0.71120000000000005</v>
      </c>
      <c r="N63" s="31">
        <f>fbe_wall__yr_1_mm/1000</f>
        <v>9.5299999999999985E-3</v>
      </c>
      <c r="O63" s="32">
        <f t="shared" si="14"/>
        <v>0.69214000000000009</v>
      </c>
      <c r="P63" s="58">
        <f t="shared" si="19"/>
        <v>2.7500000000000015E-5</v>
      </c>
      <c r="Q63" s="30">
        <f>S63*E63*O63/L63</f>
        <v>1020253.4744572043</v>
      </c>
      <c r="R63" s="29">
        <f t="shared" si="15"/>
        <v>700</v>
      </c>
      <c r="S63" s="29">
        <f>fluid_density</f>
        <v>1030</v>
      </c>
      <c r="T63" s="15">
        <f t="shared" si="16"/>
        <v>0.7</v>
      </c>
      <c r="U63" s="33">
        <f ca="1">1/SQRT(F63)</f>
        <v>8.9682078473727795</v>
      </c>
      <c r="V63" s="33">
        <f ca="1">-2 *LOG10(((P63) / (3.7 *O63)) + (2.51 / (Q63* SQRT(F63))))</f>
        <v>8.9682078473727795</v>
      </c>
      <c r="W63" s="34">
        <f t="shared" ca="1" si="17"/>
        <v>0</v>
      </c>
    </row>
    <row r="64" spans="1:23">
      <c r="A64" s="22">
        <v>17</v>
      </c>
      <c r="B64" s="57">
        <f t="shared" si="10"/>
        <v>2.8333333333333349E-2</v>
      </c>
      <c r="C64" s="24">
        <f t="shared" si="11"/>
        <v>692.1400000000001</v>
      </c>
      <c r="D64" s="25">
        <f t="shared" si="12"/>
        <v>9.5299999999999994</v>
      </c>
      <c r="E64" s="24">
        <f t="shared" si="13"/>
        <v>1.8604596757802316</v>
      </c>
      <c r="F64" s="26">
        <f t="shared" ca="1" si="18"/>
        <v>1.2455728065328322E-2</v>
      </c>
      <c r="G64" s="27">
        <f ca="1">(F64 * pipeline_length * E64^2 ) / (2*gravitational_acceleration * O64)</f>
        <v>222.31207951350979</v>
      </c>
      <c r="H64" s="28">
        <f ca="1">(S64*gravitational_acceleration*T64*(G64)/(pump_efficiency))/1000</f>
        <v>1916.9251219982889</v>
      </c>
      <c r="I64" s="28">
        <f>(S64*gravitational_acceleration*T64*(Elevation_change)/(pump_efficiency))/1000</f>
        <v>8622.6764024390268</v>
      </c>
      <c r="J64" s="125">
        <f ca="1">H64*Projected_kWh*annual_hours_operation_h_yr</f>
        <v>2817879.9293374843</v>
      </c>
      <c r="K64" s="125">
        <f>I64*Projected_kWh*annual_hours_operation_h_yr</f>
        <v>12675334.311585369</v>
      </c>
      <c r="L64" s="29">
        <f>dynamic_viscosity_of_water</f>
        <v>1.2999999999999999E-3</v>
      </c>
      <c r="M64" s="15">
        <f>outside_diameter</f>
        <v>0.71120000000000005</v>
      </c>
      <c r="N64" s="31">
        <f>fbe_wall__yr_1_mm/1000</f>
        <v>9.5299999999999985E-3</v>
      </c>
      <c r="O64" s="32">
        <f t="shared" si="14"/>
        <v>0.69214000000000009</v>
      </c>
      <c r="P64" s="58">
        <f t="shared" si="19"/>
        <v>2.8333333333333349E-5</v>
      </c>
      <c r="Q64" s="30">
        <f>S64*E64*O64/L64</f>
        <v>1020253.4744572043</v>
      </c>
      <c r="R64" s="29">
        <f t="shared" si="15"/>
        <v>700</v>
      </c>
      <c r="S64" s="29">
        <f>fluid_density</f>
        <v>1030</v>
      </c>
      <c r="T64" s="15">
        <f t="shared" si="16"/>
        <v>0.7</v>
      </c>
      <c r="U64" s="33">
        <f ca="1">1/SQRT(F64)</f>
        <v>8.9601533173775127</v>
      </c>
      <c r="V64" s="33">
        <f ca="1">-2 *LOG10(((P64) / (3.7 *O64)) + (2.51 / (Q64* SQRT(F64))))</f>
        <v>8.9601533173775127</v>
      </c>
      <c r="W64" s="34">
        <f t="shared" ca="1" si="17"/>
        <v>0</v>
      </c>
    </row>
    <row r="65" spans="1:23">
      <c r="A65" s="22">
        <v>18</v>
      </c>
      <c r="B65" s="57">
        <f t="shared" si="10"/>
        <v>2.9166666666666684E-2</v>
      </c>
      <c r="C65" s="24">
        <f t="shared" si="11"/>
        <v>692.1400000000001</v>
      </c>
      <c r="D65" s="25">
        <f t="shared" si="12"/>
        <v>9.5299999999999994</v>
      </c>
      <c r="E65" s="24">
        <f t="shared" si="13"/>
        <v>1.8604596757802316</v>
      </c>
      <c r="F65" s="26">
        <f t="shared" ca="1" si="18"/>
        <v>1.2477957990225391E-2</v>
      </c>
      <c r="G65" s="27">
        <f ca="1">(F65 * pipeline_length * E65^2 ) / (2*gravitational_acceleration * O65)</f>
        <v>222.70884321976419</v>
      </c>
      <c r="H65" s="28">
        <f ca="1">(S65*gravitational_acceleration*T65*(G65)/(pump_efficiency))/1000</f>
        <v>1920.346287045553</v>
      </c>
      <c r="I65" s="28">
        <f>(S65*gravitational_acceleration*T65*(Elevation_change)/(pump_efficiency))/1000</f>
        <v>8622.6764024390268</v>
      </c>
      <c r="J65" s="125">
        <f ca="1">H65*Projected_kWh*annual_hours_operation_h_yr</f>
        <v>2822909.0419569626</v>
      </c>
      <c r="K65" s="125">
        <f>I65*Projected_kWh*annual_hours_operation_h_yr</f>
        <v>12675334.311585369</v>
      </c>
      <c r="L65" s="29">
        <f>dynamic_viscosity_of_water</f>
        <v>1.2999999999999999E-3</v>
      </c>
      <c r="M65" s="15">
        <f>outside_diameter</f>
        <v>0.71120000000000005</v>
      </c>
      <c r="N65" s="31">
        <f>fbe_wall__yr_1_mm/1000</f>
        <v>9.5299999999999985E-3</v>
      </c>
      <c r="O65" s="32">
        <f t="shared" si="14"/>
        <v>0.69214000000000009</v>
      </c>
      <c r="P65" s="58">
        <f t="shared" si="19"/>
        <v>2.9166666666666683E-5</v>
      </c>
      <c r="Q65" s="30">
        <f>S65*E65*O65/L65</f>
        <v>1020253.4744572043</v>
      </c>
      <c r="R65" s="29">
        <f t="shared" si="15"/>
        <v>700</v>
      </c>
      <c r="S65" s="29">
        <f>fluid_density</f>
        <v>1030</v>
      </c>
      <c r="T65" s="15">
        <f t="shared" si="16"/>
        <v>0.7</v>
      </c>
      <c r="U65" s="33">
        <f ca="1">1/SQRT(F65)</f>
        <v>8.9521683438861608</v>
      </c>
      <c r="V65" s="33">
        <f ca="1">-2 *LOG10(((P65) / (3.7 *O65)) + (2.51 / (Q65* SQRT(F65))))</f>
        <v>8.9521683438861608</v>
      </c>
      <c r="W65" s="34">
        <f t="shared" ca="1" si="17"/>
        <v>0</v>
      </c>
    </row>
    <row r="66" spans="1:23">
      <c r="A66" s="22">
        <v>19</v>
      </c>
      <c r="B66" s="57">
        <f t="shared" si="10"/>
        <v>3.0000000000000016E-2</v>
      </c>
      <c r="C66" s="24">
        <f t="shared" si="11"/>
        <v>692.1400000000001</v>
      </c>
      <c r="D66" s="25">
        <f t="shared" si="12"/>
        <v>9.5299999999999994</v>
      </c>
      <c r="E66" s="24">
        <f t="shared" si="13"/>
        <v>1.8604596757802316</v>
      </c>
      <c r="F66" s="26">
        <f t="shared" ca="1" si="18"/>
        <v>1.2500056283503168E-2</v>
      </c>
      <c r="G66" s="27">
        <f ca="1">(F66 * pipeline_length * E66^2 ) / (2*gravitational_acceleration * O66)</f>
        <v>223.1032575411524</v>
      </c>
      <c r="H66" s="28">
        <f ca="1">(S66*gravitational_acceleration*T66*(G66)/(pump_efficiency))/1000</f>
        <v>1923.7471941073713</v>
      </c>
      <c r="I66" s="28">
        <f>(S66*gravitational_acceleration*T66*(Elevation_change)/(pump_efficiency))/1000</f>
        <v>8622.6764024390268</v>
      </c>
      <c r="J66" s="125">
        <f ca="1">H66*Projected_kWh*annual_hours_operation_h_yr</f>
        <v>2827908.3753378354</v>
      </c>
      <c r="K66" s="125">
        <f>I66*Projected_kWh*annual_hours_operation_h_yr</f>
        <v>12675334.311585369</v>
      </c>
      <c r="L66" s="29">
        <f>dynamic_viscosity_of_water</f>
        <v>1.2999999999999999E-3</v>
      </c>
      <c r="M66" s="15">
        <f>outside_diameter</f>
        <v>0.71120000000000005</v>
      </c>
      <c r="N66" s="31">
        <f>fbe_wall__yr_1_mm/1000</f>
        <v>9.5299999999999985E-3</v>
      </c>
      <c r="O66" s="32">
        <f t="shared" si="14"/>
        <v>0.69214000000000009</v>
      </c>
      <c r="P66" s="58">
        <f t="shared" si="19"/>
        <v>3.0000000000000018E-5</v>
      </c>
      <c r="Q66" s="30">
        <f>S66*E66*O66/L66</f>
        <v>1020253.4744572043</v>
      </c>
      <c r="R66" s="29">
        <f t="shared" si="15"/>
        <v>700</v>
      </c>
      <c r="S66" s="29">
        <f>fluid_density</f>
        <v>1030</v>
      </c>
      <c r="T66" s="15">
        <f t="shared" si="16"/>
        <v>0.7</v>
      </c>
      <c r="U66" s="33">
        <f ca="1">1/SQRT(F66)</f>
        <v>8.9442517734689044</v>
      </c>
      <c r="V66" s="33">
        <f ca="1">-2 *LOG10(((P66) / (3.7 *O66)) + (2.51 / (Q66* SQRT(F66))))</f>
        <v>8.9442517734689044</v>
      </c>
      <c r="W66" s="34">
        <f t="shared" ca="1" si="17"/>
        <v>0</v>
      </c>
    </row>
    <row r="67" spans="1:23">
      <c r="A67" s="22">
        <v>20</v>
      </c>
      <c r="B67" s="57">
        <f t="shared" si="10"/>
        <v>3.0833333333333348E-2</v>
      </c>
      <c r="C67" s="24">
        <f t="shared" si="11"/>
        <v>692.1400000000001</v>
      </c>
      <c r="D67" s="25">
        <f t="shared" si="12"/>
        <v>9.5299999999999994</v>
      </c>
      <c r="E67" s="24">
        <f t="shared" si="13"/>
        <v>1.8604596757802316</v>
      </c>
      <c r="F67" s="26">
        <f t="shared" ca="1" si="18"/>
        <v>1.2522024786910292E-2</v>
      </c>
      <c r="G67" s="27">
        <f ca="1">(F67 * pipeline_length * E67^2 ) / (2*gravitational_acceleration * O67)</f>
        <v>223.495355349536</v>
      </c>
      <c r="H67" s="28">
        <f ca="1">(S67*gravitational_acceleration*T67*(G67)/(pump_efficiency))/1000</f>
        <v>1927.1281266271685</v>
      </c>
      <c r="I67" s="28">
        <f>(S67*gravitational_acceleration*T67*(Elevation_change)/(pump_efficiency))/1000</f>
        <v>8622.6764024390268</v>
      </c>
      <c r="J67" s="125">
        <f ca="1">H67*Projected_kWh*annual_hours_operation_h_yr</f>
        <v>2832878.3461419377</v>
      </c>
      <c r="K67" s="125">
        <f>I67*Projected_kWh*annual_hours_operation_h_yr</f>
        <v>12675334.311585369</v>
      </c>
      <c r="L67" s="29">
        <f>dynamic_viscosity_of_water</f>
        <v>1.2999999999999999E-3</v>
      </c>
      <c r="M67" s="15">
        <f>outside_diameter</f>
        <v>0.71120000000000005</v>
      </c>
      <c r="N67" s="31">
        <f>fbe_wall__yr_1_mm/1000</f>
        <v>9.5299999999999985E-3</v>
      </c>
      <c r="O67" s="32">
        <f t="shared" si="14"/>
        <v>0.69214000000000009</v>
      </c>
      <c r="P67" s="58">
        <f t="shared" si="19"/>
        <v>3.0833333333333349E-5</v>
      </c>
      <c r="Q67" s="30">
        <f>S67*E67*O67/L67</f>
        <v>1020253.4744572043</v>
      </c>
      <c r="R67" s="29">
        <f t="shared" si="15"/>
        <v>700</v>
      </c>
      <c r="S67" s="29">
        <f>fluid_density</f>
        <v>1030</v>
      </c>
      <c r="T67" s="15">
        <f t="shared" si="16"/>
        <v>0.7</v>
      </c>
      <c r="U67" s="33">
        <f ca="1">1/SQRT(F67)</f>
        <v>8.9364024805085869</v>
      </c>
      <c r="V67" s="33">
        <f ca="1">-2 *LOG10(((P67) / (3.7 *O67)) + (2.51 / (Q67* SQRT(F67))))</f>
        <v>8.9364024805085869</v>
      </c>
      <c r="W67" s="34">
        <f t="shared" ca="1" si="17"/>
        <v>0</v>
      </c>
    </row>
    <row r="68" spans="1:23">
      <c r="A68" s="22">
        <v>21</v>
      </c>
      <c r="B68" s="57">
        <f t="shared" si="10"/>
        <v>3.1666666666666676E-2</v>
      </c>
      <c r="C68" s="24">
        <f t="shared" si="11"/>
        <v>692.1400000000001</v>
      </c>
      <c r="D68" s="25">
        <f t="shared" si="12"/>
        <v>9.5299999999999994</v>
      </c>
      <c r="E68" s="24">
        <f t="shared" si="13"/>
        <v>1.8604596757802316</v>
      </c>
      <c r="F68" s="26">
        <f t="shared" ca="1" si="18"/>
        <v>1.2543865302886485E-2</v>
      </c>
      <c r="G68" s="27">
        <f ca="1">(F68 * pipeline_length * E68^2 ) / (2*gravitational_acceleration * O68)</f>
        <v>223.88516881518402</v>
      </c>
      <c r="H68" s="28">
        <f ca="1">(S68*gravitational_acceleration*T68*(G68)/(pump_efficiency))/1000</f>
        <v>1930.4893619987645</v>
      </c>
      <c r="I68" s="28">
        <f>(S68*gravitational_acceleration*T68*(Elevation_change)/(pump_efficiency))/1000</f>
        <v>8622.6764024390268</v>
      </c>
      <c r="J68" s="125">
        <f ca="1">H68*Projected_kWh*annual_hours_operation_h_yr</f>
        <v>2837819.3621381838</v>
      </c>
      <c r="K68" s="125">
        <f>I68*Projected_kWh*annual_hours_operation_h_yr</f>
        <v>12675334.311585369</v>
      </c>
      <c r="L68" s="29">
        <f>dynamic_viscosity_of_water</f>
        <v>1.2999999999999999E-3</v>
      </c>
      <c r="M68" s="15">
        <f>outside_diameter</f>
        <v>0.71120000000000005</v>
      </c>
      <c r="N68" s="31">
        <f>fbe_wall__yr_1_mm/1000</f>
        <v>9.5299999999999985E-3</v>
      </c>
      <c r="O68" s="32">
        <f t="shared" si="14"/>
        <v>0.69214000000000009</v>
      </c>
      <c r="P68" s="58">
        <f t="shared" si="19"/>
        <v>3.166666666666668E-5</v>
      </c>
      <c r="Q68" s="30">
        <f>S68*E68*O68/L68</f>
        <v>1020253.4744572043</v>
      </c>
      <c r="R68" s="29">
        <f t="shared" si="15"/>
        <v>700</v>
      </c>
      <c r="S68" s="29">
        <f>fluid_density</f>
        <v>1030</v>
      </c>
      <c r="T68" s="15">
        <f t="shared" si="16"/>
        <v>0.7</v>
      </c>
      <c r="U68" s="33">
        <f ca="1">1/SQRT(F68)</f>
        <v>8.9286193663299134</v>
      </c>
      <c r="V68" s="33">
        <f ca="1">-2 *LOG10(((P68) / (3.7 *O68)) + (2.51 / (Q68* SQRT(F68))))</f>
        <v>8.9286193663299134</v>
      </c>
      <c r="W68" s="34">
        <f t="shared" ca="1" si="17"/>
        <v>0</v>
      </c>
    </row>
    <row r="69" spans="1:23">
      <c r="A69" s="22">
        <v>22</v>
      </c>
      <c r="B69" s="57">
        <f t="shared" si="10"/>
        <v>3.2500000000000008E-2</v>
      </c>
      <c r="C69" s="24">
        <f t="shared" si="11"/>
        <v>692.1400000000001</v>
      </c>
      <c r="D69" s="25">
        <f t="shared" si="12"/>
        <v>9.5299999999999994</v>
      </c>
      <c r="E69" s="24">
        <f t="shared" si="13"/>
        <v>1.8604596757802316</v>
      </c>
      <c r="F69" s="26">
        <f t="shared" ca="1" si="18"/>
        <v>1.2565579595673977E-2</v>
      </c>
      <c r="G69" s="27">
        <f ca="1">(F69 * pipeline_length * E69^2 ) / (2*gravitational_acceleration * O69)</f>
        <v>224.27272942660989</v>
      </c>
      <c r="H69" s="28">
        <f ca="1">(S69*gravitational_acceleration*T69*(G69)/(pump_efficiency))/1000</f>
        <v>1933.8311717374215</v>
      </c>
      <c r="I69" s="28">
        <f>(S69*gravitational_acceleration*T69*(Elevation_change)/(pump_efficiency))/1000</f>
        <v>8622.6764024390268</v>
      </c>
      <c r="J69" s="125">
        <f ca="1">H69*Projected_kWh*annual_hours_operation_h_yr</f>
        <v>2842731.8224540097</v>
      </c>
      <c r="K69" s="125">
        <f>I69*Projected_kWh*annual_hours_operation_h_yr</f>
        <v>12675334.311585369</v>
      </c>
      <c r="L69" s="29">
        <f>dynamic_viscosity_of_water</f>
        <v>1.2999999999999999E-3</v>
      </c>
      <c r="M69" s="15">
        <f>outside_diameter</f>
        <v>0.71120000000000005</v>
      </c>
      <c r="N69" s="31">
        <f>fbe_wall__yr_1_mm/1000</f>
        <v>9.5299999999999985E-3</v>
      </c>
      <c r="O69" s="32">
        <f t="shared" si="14"/>
        <v>0.69214000000000009</v>
      </c>
      <c r="P69" s="58">
        <f t="shared" si="19"/>
        <v>3.2500000000000011E-5</v>
      </c>
      <c r="Q69" s="30">
        <f>S69*E69*O69/L69</f>
        <v>1020253.4744572043</v>
      </c>
      <c r="R69" s="29">
        <f t="shared" si="15"/>
        <v>700</v>
      </c>
      <c r="S69" s="29">
        <f>fluid_density</f>
        <v>1030</v>
      </c>
      <c r="T69" s="15">
        <f t="shared" si="16"/>
        <v>0.7</v>
      </c>
      <c r="U69" s="33">
        <f ca="1">1/SQRT(F69)</f>
        <v>8.9209013583619274</v>
      </c>
      <c r="V69" s="33">
        <f ca="1">-2 *LOG10(((P69) / (3.7 *O69)) + (2.51 / (Q69* SQRT(F69))))</f>
        <v>8.9209013583619274</v>
      </c>
      <c r="W69" s="34">
        <f t="shared" ca="1" si="17"/>
        <v>0</v>
      </c>
    </row>
    <row r="70" spans="1:23">
      <c r="A70" s="22">
        <v>23</v>
      </c>
      <c r="B70" s="57">
        <f t="shared" si="10"/>
        <v>3.333333333333334E-2</v>
      </c>
      <c r="C70" s="24">
        <f t="shared" si="11"/>
        <v>692.1400000000001</v>
      </c>
      <c r="D70" s="25">
        <f t="shared" si="12"/>
        <v>9.5299999999999994</v>
      </c>
      <c r="E70" s="24">
        <f t="shared" si="13"/>
        <v>1.8604596757802316</v>
      </c>
      <c r="F70" s="26">
        <f t="shared" ca="1" si="18"/>
        <v>1.2587169392390237E-2</v>
      </c>
      <c r="G70" s="27">
        <f ca="1">(F70 * pipeline_length * E70^2 ) / (2*gravitational_acceleration * O70)</f>
        <v>224.65806800971737</v>
      </c>
      <c r="H70" s="28">
        <f ca="1">(S70*gravitational_acceleration*T70*(G70)/(pump_efficiency))/1000</f>
        <v>1937.1538216449317</v>
      </c>
      <c r="I70" s="28">
        <f>(S70*gravitational_acceleration*T70*(Elevation_change)/(pump_efficiency))/1000</f>
        <v>8622.6764024390268</v>
      </c>
      <c r="J70" s="125">
        <f ca="1">H70*Projected_kWh*annual_hours_operation_h_yr</f>
        <v>2847616.1178180492</v>
      </c>
      <c r="K70" s="125">
        <f>I70*Projected_kWh*annual_hours_operation_h_yr</f>
        <v>12675334.311585369</v>
      </c>
      <c r="L70" s="29">
        <f>dynamic_viscosity_of_water</f>
        <v>1.2999999999999999E-3</v>
      </c>
      <c r="M70" s="15">
        <f>outside_diameter</f>
        <v>0.71120000000000005</v>
      </c>
      <c r="N70" s="31">
        <f>fbe_wall__yr_1_mm/1000</f>
        <v>9.5299999999999985E-3</v>
      </c>
      <c r="O70" s="32">
        <f t="shared" si="14"/>
        <v>0.69214000000000009</v>
      </c>
      <c r="P70" s="58">
        <f t="shared" si="19"/>
        <v>3.3333333333333342E-5</v>
      </c>
      <c r="Q70" s="30">
        <f>S70*E70*O70/L70</f>
        <v>1020253.4744572043</v>
      </c>
      <c r="R70" s="29">
        <f t="shared" si="15"/>
        <v>700</v>
      </c>
      <c r="S70" s="29">
        <f>fluid_density</f>
        <v>1030</v>
      </c>
      <c r="T70" s="15">
        <f t="shared" si="16"/>
        <v>0.7</v>
      </c>
      <c r="U70" s="33">
        <f ca="1">1/SQRT(F70)</f>
        <v>8.91324740933225</v>
      </c>
      <c r="V70" s="33">
        <f ca="1">-2 *LOG10(((P70) / (3.7 *O70)) + (2.51 / (Q70* SQRT(F70))))</f>
        <v>8.91324740933225</v>
      </c>
      <c r="W70" s="34">
        <f t="shared" ca="1" si="17"/>
        <v>0</v>
      </c>
    </row>
    <row r="71" spans="1:23">
      <c r="A71" s="22">
        <v>24</v>
      </c>
      <c r="B71" s="57">
        <f t="shared" si="10"/>
        <v>3.4166666666666672E-2</v>
      </c>
      <c r="C71" s="24">
        <f t="shared" si="11"/>
        <v>692.1400000000001</v>
      </c>
      <c r="D71" s="25">
        <f t="shared" si="12"/>
        <v>9.5299999999999994</v>
      </c>
      <c r="E71" s="24">
        <f t="shared" si="13"/>
        <v>1.8604596757802316</v>
      </c>
      <c r="F71" s="26">
        <f t="shared" ca="1" si="18"/>
        <v>1.2608636384063539E-2</v>
      </c>
      <c r="G71" s="27">
        <f ca="1">(F71 * pipeline_length * E71^2 ) / (2*gravitational_acceleration * O71)</f>
        <v>225.04121474628391</v>
      </c>
      <c r="H71" s="28">
        <f ca="1">(S71*gravitational_acceleration*T71*(G71)/(pump_efficiency))/1000</f>
        <v>1940.4575719689956</v>
      </c>
      <c r="I71" s="28">
        <f>(S71*gravitational_acceleration*T71*(Elevation_change)/(pump_efficiency))/1000</f>
        <v>8622.6764024390268</v>
      </c>
      <c r="J71" s="125">
        <f ca="1">H71*Projected_kWh*annual_hours_operation_h_yr</f>
        <v>2852472.6307944236</v>
      </c>
      <c r="K71" s="125">
        <f>I71*Projected_kWh*annual_hours_operation_h_yr</f>
        <v>12675334.311585369</v>
      </c>
      <c r="L71" s="29">
        <f>dynamic_viscosity_of_water</f>
        <v>1.2999999999999999E-3</v>
      </c>
      <c r="M71" s="15">
        <f>outside_diameter</f>
        <v>0.71120000000000005</v>
      </c>
      <c r="N71" s="31">
        <f>fbe_wall__yr_1_mm/1000</f>
        <v>9.5299999999999985E-3</v>
      </c>
      <c r="O71" s="32">
        <f t="shared" si="14"/>
        <v>0.69214000000000009</v>
      </c>
      <c r="P71" s="58">
        <f t="shared" si="19"/>
        <v>3.4166666666666673E-5</v>
      </c>
      <c r="Q71" s="30">
        <f>S71*E71*O71/L71</f>
        <v>1020253.4744572043</v>
      </c>
      <c r="R71" s="29">
        <f t="shared" si="15"/>
        <v>700</v>
      </c>
      <c r="S71" s="29">
        <f>fluid_density</f>
        <v>1030</v>
      </c>
      <c r="T71" s="15">
        <f t="shared" si="16"/>
        <v>0.7</v>
      </c>
      <c r="U71" s="33">
        <f ca="1">1/SQRT(F71)</f>
        <v>8.9056564964917051</v>
      </c>
      <c r="V71" s="33">
        <f ca="1">-2 *LOG10(((P71) / (3.7 *O71)) + (2.51 / (Q71* SQRT(F71))))</f>
        <v>8.9056564964917069</v>
      </c>
      <c r="W71" s="34">
        <f t="shared" ca="1" si="17"/>
        <v>0</v>
      </c>
    </row>
    <row r="72" spans="1:23">
      <c r="A72" s="43">
        <v>25</v>
      </c>
      <c r="B72" s="59">
        <f t="shared" si="10"/>
        <v>3.5000000000000003E-2</v>
      </c>
      <c r="C72" s="45">
        <f t="shared" si="11"/>
        <v>692.1400000000001</v>
      </c>
      <c r="D72" s="46">
        <f t="shared" si="12"/>
        <v>9.5299999999999994</v>
      </c>
      <c r="E72" s="45">
        <f t="shared" si="13"/>
        <v>1.8604596757802316</v>
      </c>
      <c r="F72" s="26">
        <f t="shared" ca="1" si="18"/>
        <v>1.2629982226632936E-2</v>
      </c>
      <c r="G72" s="48">
        <f ca="1">(F72 * pipeline_length * E72^2 ) / (2*gravitational_acceleration * O72)</f>
        <v>225.4221991918082</v>
      </c>
      <c r="H72" s="28">
        <f ca="1">(S72*gravitational_acceleration*T72*(G72)/(pump_efficiency))/1000</f>
        <v>1943.7426775571143</v>
      </c>
      <c r="I72" s="28">
        <f>(S72*gravitational_acceleration*T72*(Elevation_change)/(pump_efficiency))/1000</f>
        <v>8622.6764024390268</v>
      </c>
      <c r="J72" s="126">
        <f ca="1">H72*Projected_kWh*annual_hours_operation_h_yr</f>
        <v>2857301.7360089575</v>
      </c>
      <c r="K72" s="126">
        <f>I72*Projected_kWh*annual_hours_operation_h_yr</f>
        <v>12675334.311585369</v>
      </c>
      <c r="L72" s="29">
        <f>dynamic_viscosity_of_water</f>
        <v>1.2999999999999999E-3</v>
      </c>
      <c r="M72" s="15">
        <f>outside_diameter</f>
        <v>0.71120000000000005</v>
      </c>
      <c r="N72" s="31">
        <f>fbe_wall__yr_1_mm/1000</f>
        <v>9.5299999999999985E-3</v>
      </c>
      <c r="O72" s="52">
        <f t="shared" si="14"/>
        <v>0.69214000000000009</v>
      </c>
      <c r="P72" s="123">
        <f>roughness_fbe_yr_25_mm/1000</f>
        <v>3.5000000000000004E-5</v>
      </c>
      <c r="Q72" s="51">
        <f>S72*E72*O72/L72</f>
        <v>1020253.4744572043</v>
      </c>
      <c r="R72" s="49">
        <f t="shared" si="15"/>
        <v>700</v>
      </c>
      <c r="S72" s="29">
        <f>fluid_density</f>
        <v>1030</v>
      </c>
      <c r="T72" s="50">
        <f t="shared" si="16"/>
        <v>0.7</v>
      </c>
      <c r="U72" s="33">
        <f ca="1">1/SQRT(F72)</f>
        <v>8.8981276208679656</v>
      </c>
      <c r="V72" s="33">
        <f ca="1">-2 *LOG10(((P72) / (3.7 *O72)) + (2.51 / (Q72* SQRT(F72))))</f>
        <v>8.8981276208679656</v>
      </c>
      <c r="W72" s="34">
        <f t="shared" ca="1" si="17"/>
        <v>0</v>
      </c>
    </row>
    <row r="73" spans="1:23">
      <c r="A73" s="17"/>
      <c r="J73" s="70">
        <f ca="1">NPV(annual_discount_rate,J48:J72)</f>
        <v>25170401.955602627</v>
      </c>
      <c r="K73" s="70">
        <f>NPV(annual_discount_rate,K48:K72)</f>
        <v>115054516.79069601</v>
      </c>
    </row>
    <row r="76" spans="1:23">
      <c r="I76" s="60"/>
    </row>
    <row r="77" spans="1:23">
      <c r="B77" s="17"/>
      <c r="C77" s="17"/>
    </row>
  </sheetData>
  <pageMargins left="0.7" right="0.7" top="0.75" bottom="0.75" header="0.3" footer="0.3"/>
  <pageSetup orientation="portrait" horizontalDpi="0" verticalDpi="0"/>
  <ignoredErrors>
    <ignoredError sqref="O46:O71 O21:O44" formula="1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C17EE-927F-F041-B032-C0FE3D7D286E}">
  <dimension ref="B1:Z43"/>
  <sheetViews>
    <sheetView tabSelected="1" zoomScale="150" zoomScaleNormal="50" workbookViewId="0">
      <selection activeCell="C6" sqref="C6"/>
    </sheetView>
    <sheetView workbookViewId="1"/>
  </sheetViews>
  <sheetFormatPr baseColWidth="10" defaultRowHeight="16"/>
  <cols>
    <col min="1" max="1" width="5.33203125" customWidth="1"/>
    <col min="2" max="2" width="17.83203125" bestFit="1" customWidth="1"/>
    <col min="3" max="3" width="18.33203125" customWidth="1"/>
    <col min="4" max="4" width="15" bestFit="1" customWidth="1"/>
    <col min="5" max="5" width="15.33203125" bestFit="1" customWidth="1"/>
    <col min="6" max="9" width="15.33203125" customWidth="1"/>
    <col min="10" max="10" width="14" bestFit="1" customWidth="1"/>
    <col min="11" max="11" width="14" customWidth="1"/>
    <col min="12" max="12" width="27.83203125" bestFit="1" customWidth="1"/>
    <col min="13" max="13" width="27.6640625" bestFit="1" customWidth="1"/>
    <col min="14" max="14" width="11.5" bestFit="1" customWidth="1"/>
    <col min="15" max="15" width="24.1640625" customWidth="1"/>
    <col min="16" max="16" width="27.6640625" bestFit="1" customWidth="1"/>
    <col min="17" max="17" width="15.1640625" customWidth="1"/>
    <col min="19" max="20" width="14.1640625" bestFit="1" customWidth="1"/>
    <col min="21" max="21" width="11.83203125" bestFit="1" customWidth="1"/>
    <col min="23" max="23" width="17.83203125" bestFit="1" customWidth="1"/>
    <col min="24" max="24" width="11.83203125" bestFit="1" customWidth="1"/>
    <col min="25" max="25" width="11" bestFit="1" customWidth="1"/>
    <col min="26" max="26" width="11.5" bestFit="1" customWidth="1"/>
  </cols>
  <sheetData>
    <row r="1" spans="2:26">
      <c r="B1" s="134"/>
      <c r="C1" s="134"/>
      <c r="D1" s="134"/>
      <c r="E1" s="134"/>
      <c r="F1" s="173"/>
      <c r="G1" s="137" t="str">
        <f>"Field\nJoint Coating [ "&amp;ROUND(D7/1000000,1)&amp;" ] Coated\nCAPEX"</f>
        <v>Field\nJoint Coating [ 5.8 ] Coated\nCAPEX</v>
      </c>
      <c r="H1" s="144"/>
      <c r="I1" s="144"/>
      <c r="L1" t="str">
        <f>"TOTAL [ "&amp;ROUND(D29/1000000,1)&amp;" ] CAPEX"</f>
        <v>TOTAL [ 14.7 ] CAPEX</v>
      </c>
      <c r="M1" s="154" t="str">
        <f>"CAPEX [ "&amp;ROUND(D29/1000000,1)&amp;" ] "&amp;J2</f>
        <v>CAPEX [ 14.7 ] Steel design</v>
      </c>
      <c r="N1" t="s">
        <v>267</v>
      </c>
    </row>
    <row r="2" spans="2:26">
      <c r="G2" t="str">
        <f>"Shop Coating [ "&amp;ROUND(D8/1000000,1)&amp;" ] Coated\nCAPEX"</f>
        <v>Shop Coating [ 0.8 ] Coated\nCAPEX</v>
      </c>
      <c r="J2" s="9" t="s">
        <v>255</v>
      </c>
      <c r="K2" t="s">
        <v>256</v>
      </c>
      <c r="L2" t="str">
        <f>"TOTAL [ "&amp;ROUND(D29/1000000,1)&amp;" ] CAPEX"</f>
        <v>TOTAL [ 14.7 ] CAPEX</v>
      </c>
      <c r="M2" s="154" t="str">
        <f>"CAPEX [ "&amp;ROUND(D29/1000000,1)&amp;" ] "&amp;B29</f>
        <v>CAPEX [ 14.7 ] Design Steel</v>
      </c>
      <c r="N2" t="s">
        <v>262</v>
      </c>
      <c r="P2" t="str">
        <f>L4</f>
        <v>Bare [ 0 ] CAPEX</v>
      </c>
      <c r="Q2" t="str">
        <f>L11</f>
        <v>Coated [ 5.8 ] CAPEX</v>
      </c>
      <c r="U2" s="144"/>
      <c r="W2" s="144" t="s">
        <v>69</v>
      </c>
      <c r="X2" s="144" t="s">
        <v>64</v>
      </c>
      <c r="Y2" s="144" t="s">
        <v>226</v>
      </c>
      <c r="Z2" s="144" t="s">
        <v>16</v>
      </c>
    </row>
    <row r="3" spans="2:26">
      <c r="G3" t="str">
        <f ca="1">"Coated\nFriction Energy [ "&amp;ROUND(D12/1000000,1)&amp;" ] Coated\nOPEX"</f>
        <v>Coated\nFriction Energy [ 25.2 ] Coated\nOPEX</v>
      </c>
      <c r="H3" s="137"/>
      <c r="I3" s="137"/>
      <c r="L3" s="112" t="s">
        <v>17</v>
      </c>
      <c r="O3" s="147"/>
      <c r="P3" t="str">
        <f t="shared" ref="P3:P6" si="0">L5</f>
        <v>Bare [ 0.3 ] CAPEX</v>
      </c>
      <c r="Q3" t="str">
        <f t="shared" ref="Q3:Q5" si="1">L12</f>
        <v>Coated [ 0.8 ] CAPEX</v>
      </c>
      <c r="U3" s="146"/>
      <c r="W3" s="141" t="s">
        <v>224</v>
      </c>
      <c r="X3" s="145">
        <f>pv_inhibitors</f>
        <v>10223564.573747916</v>
      </c>
      <c r="Y3" s="145"/>
      <c r="Z3" s="146">
        <v>1</v>
      </c>
    </row>
    <row r="4" spans="2:26">
      <c r="G4" t="str">
        <f>"Coated\nInspections [ "&amp;ROUND(D13/1000000,1)&amp;" ] Coated\nOPEX"</f>
        <v>Coated\nInspections [ 2.5 ] Coated\nOPEX</v>
      </c>
      <c r="H4" s="137"/>
      <c r="I4" s="137"/>
      <c r="L4" t="str">
        <f>"Bare [ "&amp;ROUND(extra_steel/1000000,1)&amp;" ] CAPEX"</f>
        <v>Bare [ 0 ] CAPEX</v>
      </c>
      <c r="M4" s="154" t="str">
        <f>"CAPEX [ "&amp;ROUND(extra_steel/1000000,1)&amp;" ] "&amp;K2</f>
        <v>CAPEX [ 0 ] Steel corrosion</v>
      </c>
      <c r="N4" t="s">
        <v>268</v>
      </c>
      <c r="P4" t="str">
        <f t="shared" ca="1" si="0"/>
        <v>Bare [ 34.3 ] OPEX</v>
      </c>
      <c r="Q4" t="str">
        <f t="shared" ca="1" si="1"/>
        <v>Coated [ 25.2 ] OPEX</v>
      </c>
      <c r="U4" s="146"/>
      <c r="W4" s="141" t="s">
        <v>128</v>
      </c>
      <c r="X4" s="145">
        <f ca="1">extra_friction_energy</f>
        <v>9105513.9011863358</v>
      </c>
      <c r="Y4" s="145"/>
      <c r="Z4" s="146">
        <f ca="1">1-D12/C12</f>
        <v>0.26565340921102842</v>
      </c>
    </row>
    <row r="5" spans="2:26">
      <c r="B5" s="188" t="s">
        <v>69</v>
      </c>
      <c r="C5" s="188" t="s">
        <v>64</v>
      </c>
      <c r="D5" s="188" t="s">
        <v>226</v>
      </c>
      <c r="E5" s="188" t="s">
        <v>16</v>
      </c>
      <c r="F5" s="173"/>
      <c r="H5" s="137"/>
      <c r="I5" s="137"/>
      <c r="L5" t="str">
        <f>"Bare [ "&amp;ROUND(C27/1000000,1)&amp;" ] CAPEX"</f>
        <v>Bare [ 0.3 ] CAPEX</v>
      </c>
      <c r="M5" s="154" t="str">
        <f>"CAPEX [ "&amp;ROUND(C27/1000000,1)&amp;" ] "&amp;B27</f>
        <v>CAPEX [ 0.3 ] Dosing Plant</v>
      </c>
      <c r="N5" t="s">
        <v>269</v>
      </c>
      <c r="P5" t="str">
        <f t="shared" si="0"/>
        <v>Bare [ 10.2 ] OPEX</v>
      </c>
      <c r="Q5" t="str">
        <f t="shared" si="1"/>
        <v>Coated [ 2.5 ] OPEX</v>
      </c>
      <c r="U5" s="146"/>
      <c r="W5" s="141" t="s">
        <v>19</v>
      </c>
      <c r="X5" s="145">
        <f>extra_steel</f>
        <v>0</v>
      </c>
      <c r="Y5" s="145"/>
      <c r="Z5" s="146">
        <f>1-D29/C29</f>
        <v>0</v>
      </c>
    </row>
    <row r="6" spans="2:26">
      <c r="B6" s="178" t="s">
        <v>272</v>
      </c>
      <c r="C6" s="137">
        <f>capex_steel_bare-capex_steel_fbe</f>
        <v>5659617.8936218414</v>
      </c>
      <c r="E6" s="137">
        <f>_bare_corrosion_steel</f>
        <v>5659617.8936218414</v>
      </c>
      <c r="G6" t="str">
        <f>"Coated\nCAPEX [ "&amp;ROUND(D7/1000000,1)&amp;" ] Coated"</f>
        <v>Coated\nCAPEX [ 5.8 ] Coated</v>
      </c>
      <c r="H6" s="145"/>
      <c r="I6" s="145"/>
      <c r="L6" t="str">
        <f ca="1">"Bare [ "&amp;ROUND(C12/1000000,1)&amp;" ] OPEX"</f>
        <v>Bare [ 34.3 ] OPEX</v>
      </c>
      <c r="M6" s="154" t="str">
        <f ca="1">"OPEX [ "&amp;ROUND(C12/1000000,1)&amp;" ] "&amp;B12</f>
        <v>OPEX [ 34.3 ] Friction Energy</v>
      </c>
      <c r="N6" t="s">
        <v>265</v>
      </c>
      <c r="P6" t="str">
        <f t="shared" si="0"/>
        <v>Bare [ 5.1 ] OPEX</v>
      </c>
      <c r="U6" s="146"/>
      <c r="W6" s="141" t="s">
        <v>225</v>
      </c>
      <c r="X6" s="145"/>
      <c r="Y6" s="145">
        <f>field_coating_total</f>
        <v>5834000</v>
      </c>
      <c r="Z6" s="146">
        <v>1</v>
      </c>
    </row>
    <row r="7" spans="2:26">
      <c r="B7" s="178" t="s">
        <v>210</v>
      </c>
      <c r="C7" s="137"/>
      <c r="D7" s="137">
        <f>field_coating_total</f>
        <v>5834000</v>
      </c>
      <c r="G7" t="str">
        <f>"Coated\nCAPEX [ "&amp;ROUND(D8/1000000,1)&amp;" ] Coated"</f>
        <v>Coated\nCAPEX [ 0.8 ] Coated</v>
      </c>
      <c r="H7" s="137"/>
      <c r="I7" s="137"/>
      <c r="L7" t="str">
        <f>"Bare [ "&amp;ROUND(C11/1000000,1)&amp;" ] OPEX"</f>
        <v>Bare [ 10.2 ] OPEX</v>
      </c>
      <c r="M7" s="154" t="str">
        <f>"OPEX [ "&amp;ROUND(C11/1000000,1)&amp;" ] "&amp;B11</f>
        <v>OPEX [ 10.2 ] Inhibitors</v>
      </c>
      <c r="N7" t="s">
        <v>270</v>
      </c>
      <c r="Q7" s="154" t="str">
        <f>M11</f>
        <v>CAPEX [ 5.8 ] Field Joint Coating</v>
      </c>
      <c r="U7" s="146"/>
      <c r="W7" s="141" t="s">
        <v>119</v>
      </c>
      <c r="X7" s="145">
        <f>extra_inspections</f>
        <v>2541571.2051042202</v>
      </c>
      <c r="Y7" s="145"/>
      <c r="Z7" s="146">
        <f>1-D13/C13</f>
        <v>0.5</v>
      </c>
    </row>
    <row r="8" spans="2:26">
      <c r="B8" s="178" t="s">
        <v>223</v>
      </c>
      <c r="C8" s="137"/>
      <c r="D8" s="137">
        <f>interior_fbe_capex</f>
        <v>761047.67873947392</v>
      </c>
      <c r="G8" t="str">
        <f ca="1">"Coated\nOPEX [ "&amp;ROUND(D12/1000000,1)&amp;" ] Coated"</f>
        <v>Coated\nOPEX [ 25.2 ] Coated</v>
      </c>
      <c r="H8" s="137"/>
      <c r="I8" s="137"/>
      <c r="L8" t="str">
        <f>"Bare [ "&amp;ROUND(C13/1000000,1)&amp;" ] OPEX"</f>
        <v>Bare [ 5.1 ] OPEX</v>
      </c>
      <c r="M8" s="154" t="str">
        <f>"OPEX [ "&amp;ROUND(C13/1000000,1)&amp;" ] "&amp;B13</f>
        <v>OPEX [ 5.1 ] Inspections</v>
      </c>
      <c r="N8" t="s">
        <v>266</v>
      </c>
      <c r="P8" s="154" t="str">
        <f>M4</f>
        <v>CAPEX [ 0 ] Steel corrosion</v>
      </c>
      <c r="Q8" s="154" t="str">
        <f t="shared" ref="Q8:Q10" si="2">M12</f>
        <v>CAPEX [ 0.8 ] Shop Coating</v>
      </c>
      <c r="U8" s="146"/>
      <c r="W8" s="141" t="s">
        <v>223</v>
      </c>
      <c r="X8" s="145"/>
      <c r="Y8" s="145">
        <f>interior_fbe_capex</f>
        <v>761047.67873947392</v>
      </c>
      <c r="Z8" s="146">
        <v>1</v>
      </c>
    </row>
    <row r="9" spans="2:26">
      <c r="B9" s="180" t="s">
        <v>273</v>
      </c>
      <c r="C9" s="137">
        <f>SUM(C6:C8)</f>
        <v>5659617.8936218414</v>
      </c>
      <c r="D9" s="137">
        <f>SUM(D6:D8)</f>
        <v>6595047.6787394742</v>
      </c>
      <c r="E9" s="142">
        <f>1-D9/C9</f>
        <v>-0.16528143819953356</v>
      </c>
      <c r="F9" s="142"/>
      <c r="G9" t="str">
        <f>"Coated\nOPEX [ "&amp;ROUND(D13/1000000,1)&amp;" ] Coated"</f>
        <v>Coated\nOPEX [ 2.5 ] Coated</v>
      </c>
      <c r="H9" s="170"/>
      <c r="I9" s="170"/>
      <c r="P9" s="154" t="str">
        <f t="shared" ref="P9:P12" si="3">M5</f>
        <v>CAPEX [ 0.3 ] Dosing Plant</v>
      </c>
      <c r="Q9" s="154" t="str">
        <f t="shared" ca="1" si="2"/>
        <v>OPEX [ 25.2 ] Friction Energy</v>
      </c>
      <c r="U9" s="146"/>
      <c r="W9" s="141" t="s">
        <v>68</v>
      </c>
      <c r="X9" s="145">
        <f>Dosage_plant_investment</f>
        <v>272160</v>
      </c>
      <c r="Y9" s="145"/>
      <c r="Z9" s="146">
        <v>1</v>
      </c>
    </row>
    <row r="10" spans="2:26">
      <c r="B10" s="13"/>
      <c r="H10" s="167"/>
      <c r="I10" s="167"/>
      <c r="L10" s="112" t="s">
        <v>232</v>
      </c>
      <c r="P10" s="154" t="str">
        <f t="shared" ca="1" si="3"/>
        <v>OPEX [ 34.3 ] Friction Energy</v>
      </c>
      <c r="Q10" s="154" t="str">
        <f t="shared" si="2"/>
        <v>OPEX [ 2.5 ] Inspections</v>
      </c>
      <c r="S10" s="167"/>
      <c r="T10" s="167"/>
      <c r="U10" s="168"/>
      <c r="W10" s="147" t="s">
        <v>21</v>
      </c>
      <c r="X10" s="148">
        <f ca="1">SUBTOTAL(109,Charts!$X$3:$X$9)</f>
        <v>22142809.680038471</v>
      </c>
      <c r="Y10" s="148">
        <f>SUBTOTAL(109,Charts!$Y$3:$Y$9)</f>
        <v>6595047.6787394742</v>
      </c>
      <c r="Z10" s="149">
        <f ca="1">Charts!$X$10-Charts!$Y$10</f>
        <v>15547762.001298998</v>
      </c>
    </row>
    <row r="11" spans="2:26">
      <c r="B11" s="181" t="s">
        <v>66</v>
      </c>
      <c r="C11" s="135">
        <f>pv_inhibitors</f>
        <v>10223564.573747916</v>
      </c>
      <c r="D11" s="135"/>
      <c r="E11" s="135">
        <f>C11</f>
        <v>10223564.573747916</v>
      </c>
      <c r="F11" s="145"/>
      <c r="H11" s="137"/>
      <c r="I11" s="137"/>
      <c r="L11" t="str">
        <f>"Coated [ "&amp;ROUND(D7/1000000,1)&amp;" ] CAPEX"</f>
        <v>Coated [ 5.8 ] CAPEX</v>
      </c>
      <c r="M11" s="154" t="str">
        <f>"CAPEX [ "&amp;ROUND(D7/1000000,1)&amp;" ] "&amp;B7</f>
        <v>CAPEX [ 5.8 ] Field Joint Coating</v>
      </c>
      <c r="N11" t="s">
        <v>263</v>
      </c>
      <c r="P11" s="154" t="str">
        <f t="shared" si="3"/>
        <v>OPEX [ 10.2 ] Inhibitors</v>
      </c>
      <c r="Q11" s="154"/>
      <c r="X11" s="12"/>
      <c r="Y11">
        <f ca="1">diff_total_fbe_usd/diff_total_diff</f>
        <v>0.42417987091572829</v>
      </c>
      <c r="Z11" s="116"/>
    </row>
    <row r="12" spans="2:26">
      <c r="B12" s="182" t="s">
        <v>254</v>
      </c>
      <c r="C12" s="137">
        <f ca="1">bare_friction_energy_PV</f>
        <v>34275915.856788963</v>
      </c>
      <c r="D12" s="137">
        <f ca="1">fbe_friction_energy_PV</f>
        <v>25170401.955602627</v>
      </c>
      <c r="E12" s="137">
        <f ca="1">Charts!$C12-Charts!$D12</f>
        <v>9105513.9011863358</v>
      </c>
      <c r="F12" s="137"/>
      <c r="G12" t="str">
        <f ca="1">"Coated [ "&amp;ROUND(D16/1000000,1)&amp;" ] Bare"</f>
        <v>Coated [ 34.3 ] Bare</v>
      </c>
      <c r="H12" s="142"/>
      <c r="I12" s="142"/>
      <c r="J12" s="9"/>
      <c r="K12" s="9"/>
      <c r="L12" t="str">
        <f>"Coated [ "&amp;ROUND(D8/1000000,1)&amp;" ] CAPEX"</f>
        <v>Coated [ 0.8 ] CAPEX</v>
      </c>
      <c r="M12" s="154" t="str">
        <f>"CAPEX [ "&amp;ROUND(D8/1000000,1)&amp;" ] "&amp;B8</f>
        <v>CAPEX [ 0.8 ] Shop Coating</v>
      </c>
      <c r="N12" t="s">
        <v>264</v>
      </c>
      <c r="P12" s="154" t="str">
        <f t="shared" si="3"/>
        <v>OPEX [ 5.1 ] Inspections</v>
      </c>
      <c r="Q12" s="154" t="str">
        <f>N11</f>
        <v>:Field Joint Coating #0a82b0</v>
      </c>
    </row>
    <row r="13" spans="2:26">
      <c r="B13" s="183" t="s">
        <v>67</v>
      </c>
      <c r="C13" s="175">
        <f>bare_inspections_PV</f>
        <v>5083142.4102084404</v>
      </c>
      <c r="D13" s="175">
        <f>fbe_inspections_PV</f>
        <v>2541571.2051042202</v>
      </c>
      <c r="E13" s="175">
        <f>C13-D13</f>
        <v>2541571.2051042202</v>
      </c>
      <c r="F13" s="145"/>
      <c r="G13" t="str">
        <f ca="1">"Savings [ "&amp;ROUND(E17/1000000,1)&amp;" ] Bare"</f>
        <v>Savings [ 20.9 ] Bare</v>
      </c>
      <c r="H13" s="142"/>
      <c r="I13" s="142"/>
      <c r="J13" s="8"/>
      <c r="K13" s="8"/>
      <c r="L13" t="str">
        <f ca="1">"Coated [ "&amp;ROUND(D12/1000000,1)&amp;" ] OPEX"</f>
        <v>Coated [ 25.2 ] OPEX</v>
      </c>
      <c r="M13" s="154" t="str">
        <f ca="1">"OPEX [ "&amp;ROUND(D12/1000000,1)&amp;" ] "&amp;B12</f>
        <v>OPEX [ 25.2 ] Friction Energy</v>
      </c>
      <c r="N13" t="s">
        <v>265</v>
      </c>
      <c r="P13" s="154"/>
      <c r="Q13" s="154" t="str">
        <f t="shared" ref="Q13:Q15" si="4">N12</f>
        <v>:Shop Coating #0a82b0</v>
      </c>
      <c r="W13" s="144" t="s">
        <v>69</v>
      </c>
      <c r="X13" s="144" t="s">
        <v>17</v>
      </c>
      <c r="Y13" s="144" t="s">
        <v>232</v>
      </c>
    </row>
    <row r="14" spans="2:26">
      <c r="B14" s="184" t="s">
        <v>120</v>
      </c>
      <c r="C14" s="176">
        <f ca="1">SUM(C11:C13)</f>
        <v>49582622.840745322</v>
      </c>
      <c r="D14" s="176">
        <f ca="1">SUM(D11:D13)</f>
        <v>27711973.160706848</v>
      </c>
      <c r="E14" s="177">
        <f ca="1">1-D14/C14</f>
        <v>0.44109505360950596</v>
      </c>
      <c r="F14" s="202"/>
      <c r="H14" s="141"/>
      <c r="I14" s="141"/>
      <c r="J14" s="9"/>
      <c r="K14" s="9"/>
      <c r="L14" t="str">
        <f>"Coated [ "&amp;ROUND(D13/1000000,1)&amp;" ] OPEX"</f>
        <v>Coated [ 2.5 ] OPEX</v>
      </c>
      <c r="M14" s="154" t="str">
        <f>"OPEX [ "&amp;ROUND(D13/1000000,1)&amp;" ] "&amp;B13</f>
        <v>OPEX [ 2.5 ] Inspections</v>
      </c>
      <c r="N14" t="s">
        <v>266</v>
      </c>
      <c r="P14" s="154" t="str">
        <f>N4</f>
        <v>:Steel corrosion #0a82b0</v>
      </c>
      <c r="Q14" s="154" t="str">
        <f t="shared" si="4"/>
        <v>:Friction Energy #74b4dd</v>
      </c>
      <c r="W14" s="141" t="s">
        <v>224</v>
      </c>
      <c r="X14" s="166">
        <f>pv_inhibitors/1000000</f>
        <v>10.223564573747916</v>
      </c>
      <c r="Y14" s="166"/>
    </row>
    <row r="15" spans="2:26">
      <c r="B15" s="185"/>
      <c r="C15" s="137"/>
      <c r="D15" s="137"/>
      <c r="E15" s="137"/>
      <c r="F15" s="137"/>
      <c r="G15" t="str">
        <f>"Bare [ "&amp;ROUND(C6/1000000,1)&amp;" ] Bare\nCAPEX"</f>
        <v>Bare [ 5.7 ] Bare\nCAPEX</v>
      </c>
      <c r="H15" s="143"/>
      <c r="I15" s="143"/>
      <c r="J15" s="9"/>
      <c r="K15" s="9"/>
      <c r="M15" s="154"/>
      <c r="P15" s="154" t="str">
        <f>N5</f>
        <v>:Dosing Plant #0a82b0</v>
      </c>
      <c r="Q15" s="154" t="str">
        <f t="shared" si="4"/>
        <v>:Inspections #74b4dd</v>
      </c>
      <c r="W15" s="141" t="s">
        <v>128</v>
      </c>
      <c r="X15" s="166">
        <f ca="1">extra_friction_energy/1000000</f>
        <v>9.1055139011863364</v>
      </c>
      <c r="Y15" s="166"/>
    </row>
    <row r="16" spans="2:26">
      <c r="B16" s="186" t="s">
        <v>21</v>
      </c>
      <c r="C16" s="139">
        <f ca="1">C14+C9</f>
        <v>55242240.734367162</v>
      </c>
      <c r="D16" s="139">
        <f ca="1">D14+D9</f>
        <v>34307020.839446321</v>
      </c>
      <c r="E16" s="150">
        <f ca="1">1-fbe_total_usd/bare_total_usd</f>
        <v>0.37897122956304474</v>
      </c>
      <c r="F16" s="170"/>
      <c r="G16" t="str">
        <f>"Bare [ "&amp;ROUND(C11/1000000,1)&amp;" ] Bare\nOPEX"</f>
        <v>Bare [ 10.2 ] Bare\nOPEX</v>
      </c>
      <c r="H16" s="137"/>
      <c r="I16" s="137"/>
      <c r="J16" s="9"/>
      <c r="K16" s="9"/>
      <c r="M16" s="154"/>
      <c r="P16" s="154" t="str">
        <f>N6</f>
        <v>:Friction Energy #74b4dd</v>
      </c>
      <c r="Q16" s="154"/>
      <c r="W16" s="141" t="s">
        <v>19</v>
      </c>
      <c r="X16" s="166">
        <f>extra_steel/1000000</f>
        <v>0</v>
      </c>
      <c r="Y16" s="166"/>
    </row>
    <row r="17" spans="2:25">
      <c r="B17" s="187"/>
      <c r="C17" s="140"/>
      <c r="D17" s="140"/>
      <c r="E17" s="140">
        <f ca="1">bare_total_usd-fbe_total_usd</f>
        <v>20935219.894920841</v>
      </c>
      <c r="F17" s="174"/>
      <c r="G17" t="str">
        <f ca="1">"Bare [ "&amp;ROUND(C12/1000000,1)&amp;" ] Bare\nOPEX"</f>
        <v>Bare [ 34.3 ] Bare\nOPEX</v>
      </c>
      <c r="H17" s="137"/>
      <c r="I17" s="137"/>
      <c r="J17" s="9"/>
      <c r="K17" s="9"/>
      <c r="L17" s="12">
        <f>(D7/1000000)</f>
        <v>5.8339999999999996</v>
      </c>
      <c r="M17" s="154"/>
      <c r="P17" s="154" t="str">
        <f>N7</f>
        <v>:Inhibitors #74b4dd</v>
      </c>
      <c r="W17" s="141" t="s">
        <v>225</v>
      </c>
      <c r="X17" s="166"/>
      <c r="Y17" s="166">
        <f>field_coating_total/1000000</f>
        <v>5.8339999999999996</v>
      </c>
    </row>
    <row r="18" spans="2:25">
      <c r="C18" s="8"/>
      <c r="D18" s="8"/>
      <c r="E18" s="10"/>
      <c r="F18" s="10"/>
      <c r="G18" t="str">
        <f>"Bare [ "&amp;ROUND(C13/1000000,1)&amp;" ] Bare\nOPEX"</f>
        <v>Bare [ 5.1 ] Bare\nOPEX</v>
      </c>
      <c r="J18" s="154"/>
      <c r="K18" s="154"/>
      <c r="L18" s="12">
        <f>D8/1000000</f>
        <v>0.76104767873947388</v>
      </c>
      <c r="P18" s="154" t="str">
        <f>N8</f>
        <v>:Inspections #74b4dd</v>
      </c>
      <c r="W18" s="141" t="s">
        <v>119</v>
      </c>
      <c r="X18" s="166">
        <f>extra_inspections/1000000</f>
        <v>2.5415712051042201</v>
      </c>
      <c r="Y18" s="166"/>
    </row>
    <row r="19" spans="2:25">
      <c r="C19" s="8"/>
      <c r="D19" s="8"/>
      <c r="J19" s="107"/>
      <c r="K19" s="107"/>
      <c r="L19" s="12">
        <f>SUM(L17:L18)</f>
        <v>6.5950476787394736</v>
      </c>
      <c r="M19" s="153"/>
      <c r="N19" s="153"/>
      <c r="W19" s="141" t="s">
        <v>223</v>
      </c>
      <c r="X19" s="166"/>
      <c r="Y19" s="166">
        <f>interior_fbe_capex/1000000</f>
        <v>0.76104767873947388</v>
      </c>
    </row>
    <row r="20" spans="2:25">
      <c r="J20" s="107"/>
      <c r="K20" s="107"/>
      <c r="M20" s="153"/>
      <c r="N20" s="153"/>
      <c r="P20" s="154"/>
      <c r="W20" s="141" t="s">
        <v>68</v>
      </c>
      <c r="X20" s="166">
        <f>Dosage_plant_investment/1000000</f>
        <v>0.27216000000000001</v>
      </c>
      <c r="Y20" s="166"/>
    </row>
    <row r="21" spans="2:25">
      <c r="G21" t="str">
        <f>"Bare\nCAPEX [ "&amp;ROUND(C6/1000000,1)&amp;" ] Corrosion\nSteel"</f>
        <v>Bare\nCAPEX [ 5.7 ] Corrosion\nSteel</v>
      </c>
      <c r="J21" s="155"/>
      <c r="K21" s="155"/>
      <c r="L21" s="12">
        <f ca="1">D12/1000000</f>
        <v>25.170401955602628</v>
      </c>
      <c r="M21" s="153"/>
      <c r="N21" s="153"/>
      <c r="P21" s="154"/>
    </row>
    <row r="22" spans="2:25">
      <c r="G22" t="str">
        <f ca="1">"Bare\nOPEX [ "&amp;ROUND(C12/1000000,1)&amp;" ] Bare\nFriction Energy"</f>
        <v>Bare\nOPEX [ 34.3 ] Bare\nFriction Energy</v>
      </c>
      <c r="J22" s="155"/>
      <c r="K22" s="155"/>
      <c r="L22" s="12">
        <f>D13/1000000</f>
        <v>2.5415712051042201</v>
      </c>
      <c r="M22" s="153"/>
      <c r="P22" s="154"/>
    </row>
    <row r="23" spans="2:25">
      <c r="G23" t="str">
        <f>"Bare\nOPEX [ "&amp;ROUND(C11/1000000,1)&amp;" ] Inhibitors"</f>
        <v>Bare\nOPEX [ 10.2 ] Inhibitors</v>
      </c>
      <c r="J23" s="153"/>
      <c r="K23" s="153"/>
      <c r="L23" s="12">
        <f ca="1">SUM(L21:L22)</f>
        <v>27.711973160706847</v>
      </c>
      <c r="M23" s="153">
        <f ca="1">L23+L19</f>
        <v>34.307020839446324</v>
      </c>
      <c r="N23" s="153"/>
    </row>
    <row r="24" spans="2:25">
      <c r="G24" t="str">
        <f>"Bare\nOPEX [ "&amp;ROUND(C13/1000000,1)&amp;" ] Bare\nInspections"</f>
        <v>Bare\nOPEX [ 5.1 ] Bare\nInspections</v>
      </c>
      <c r="J24" s="153"/>
      <c r="K24" s="153"/>
    </row>
    <row r="25" spans="2:25">
      <c r="B25" s="141"/>
      <c r="C25" s="141"/>
      <c r="D25" s="141"/>
      <c r="E25" s="141"/>
      <c r="F25" s="141"/>
      <c r="J25" s="11"/>
      <c r="K25" s="11"/>
      <c r="L25" s="154"/>
    </row>
    <row r="26" spans="2:25">
      <c r="B26" s="141"/>
      <c r="C26" s="143"/>
      <c r="D26" s="143"/>
      <c r="E26" s="143"/>
      <c r="F26" s="143"/>
      <c r="J26" s="11"/>
      <c r="K26" s="11"/>
      <c r="L26" s="154"/>
    </row>
    <row r="27" spans="2:25">
      <c r="B27" s="179" t="s">
        <v>68</v>
      </c>
      <c r="C27" s="175">
        <f>Dosage_plant_investment</f>
        <v>272160</v>
      </c>
      <c r="D27" s="175"/>
      <c r="E27" s="175">
        <f>C27</f>
        <v>272160</v>
      </c>
      <c r="F27" s="145"/>
      <c r="G27" t="str">
        <f>":Steel\ncorrosion #0a82b0"</f>
        <v>:Steel\ncorrosion #0a82b0</v>
      </c>
      <c r="J27" s="11"/>
      <c r="K27" s="11"/>
    </row>
    <row r="28" spans="2:25">
      <c r="B28" s="138" t="s">
        <v>127</v>
      </c>
      <c r="C28" s="137">
        <f>bare_elevation_energy_PV</f>
        <v>115054516.79069601</v>
      </c>
      <c r="D28" s="137">
        <f>fbe_elevation_energy_PV</f>
        <v>115054516.79069601</v>
      </c>
      <c r="E28" s="137"/>
      <c r="F28" s="137"/>
      <c r="G28" t="str">
        <f>":Dosing Plant #0a82b0"</f>
        <v>:Dosing Plant #0a82b0</v>
      </c>
      <c r="J28" s="11"/>
      <c r="K28" s="11"/>
      <c r="L28" s="154"/>
    </row>
    <row r="29" spans="2:25">
      <c r="B29" s="136" t="s">
        <v>271</v>
      </c>
      <c r="C29" s="137">
        <f>capex_steel_fbe</f>
        <v>14660443.199577643</v>
      </c>
      <c r="D29" s="137">
        <f>capex_steel_fbe</f>
        <v>14660443.199577643</v>
      </c>
      <c r="E29" s="137"/>
      <c r="F29" s="137"/>
      <c r="G29" t="str">
        <f>":Bare\nFriction Energy  #74b4dd"</f>
        <v>:Bare\nFriction Energy  #74b4dd</v>
      </c>
      <c r="J29" s="11"/>
      <c r="K29" s="11"/>
      <c r="L29" s="154"/>
    </row>
    <row r="30" spans="2:25">
      <c r="G30" t="str">
        <f>":Inhibitors #74b4dd"</f>
        <v>:Inhibitors #74b4dd</v>
      </c>
      <c r="J30" s="11"/>
      <c r="K30" s="11"/>
      <c r="L30" s="154"/>
    </row>
    <row r="31" spans="2:25">
      <c r="G31" t="str">
        <f>":Bare\nInspections #74b4dd"</f>
        <v>:Bare\nInspections #74b4dd</v>
      </c>
      <c r="J31" s="12"/>
      <c r="K31" s="12"/>
      <c r="L31" s="154"/>
    </row>
    <row r="32" spans="2:25">
      <c r="G32" t="str">
        <f>":Savings #74b"</f>
        <v>:Savings #74b</v>
      </c>
      <c r="L32" s="154"/>
    </row>
    <row r="33" spans="3:16">
      <c r="G33" t="str">
        <f>":Coated #A4b"</f>
        <v>:Coated #A4b</v>
      </c>
      <c r="J33" s="8"/>
      <c r="K33" s="8"/>
      <c r="L33" s="154"/>
    </row>
    <row r="34" spans="3:16">
      <c r="C34" s="8"/>
      <c r="D34" s="154"/>
      <c r="L34" s="154"/>
    </row>
    <row r="35" spans="3:16">
      <c r="C35" s="8"/>
      <c r="D35" s="154"/>
      <c r="L35" s="154"/>
    </row>
    <row r="39" spans="3:16">
      <c r="O39" s="153"/>
      <c r="P39" s="153"/>
    </row>
    <row r="40" spans="3:16">
      <c r="O40" s="153"/>
    </row>
    <row r="41" spans="3:16">
      <c r="O41" s="153"/>
    </row>
    <row r="43" spans="3:16">
      <c r="O43" s="153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144</vt:i4>
      </vt:variant>
    </vt:vector>
  </HeadingPairs>
  <TitlesOfParts>
    <vt:vector size="154" baseType="lpstr">
      <vt:lpstr>Parameters</vt:lpstr>
      <vt:lpstr>Steel</vt:lpstr>
      <vt:lpstr>Dosging</vt:lpstr>
      <vt:lpstr>SC</vt:lpstr>
      <vt:lpstr>FJC</vt:lpstr>
      <vt:lpstr>Inhibitors</vt:lpstr>
      <vt:lpstr>Inspections</vt:lpstr>
      <vt:lpstr>Electricity</vt:lpstr>
      <vt:lpstr>Charts</vt:lpstr>
      <vt:lpstr>SRAII AMSA</vt:lpstr>
      <vt:lpstr>_bare_CAPEX</vt:lpstr>
      <vt:lpstr>_bare_corrosion_steel</vt:lpstr>
      <vt:lpstr>_bare_friction</vt:lpstr>
      <vt:lpstr>_bare_inhibitores</vt:lpstr>
      <vt:lpstr>_bare_inspections</vt:lpstr>
      <vt:lpstr>_bare_OPEX</vt:lpstr>
      <vt:lpstr>_coated_CAPEX</vt:lpstr>
      <vt:lpstr>_coated_FJC</vt:lpstr>
      <vt:lpstr>_coated_Friction</vt:lpstr>
      <vt:lpstr>_coated_inspections</vt:lpstr>
      <vt:lpstr>_coated_OPEX</vt:lpstr>
      <vt:lpstr>_coated_SC</vt:lpstr>
      <vt:lpstr>_diff_inhibitors</vt:lpstr>
      <vt:lpstr>annual_discount_rate</vt:lpstr>
      <vt:lpstr>annual_discount_rate_percent</vt:lpstr>
      <vt:lpstr>annual_hours_operation_h_yr</vt:lpstr>
      <vt:lpstr>Bare_annual_Inspection</vt:lpstr>
      <vt:lpstr>Bare_annual_Inspection_usd</vt:lpstr>
      <vt:lpstr>bare_capex</vt:lpstr>
      <vt:lpstr>bare_cost_electricity_yr_1</vt:lpstr>
      <vt:lpstr>bare_electricity_yr_1</vt:lpstr>
      <vt:lpstr>bare_elevation_energy_PV</vt:lpstr>
      <vt:lpstr>bare_f_yr_1</vt:lpstr>
      <vt:lpstr>bare_friction_energy_PV</vt:lpstr>
      <vt:lpstr>bare_hf_yr1_m</vt:lpstr>
      <vt:lpstr>bare_inside_diameter_yr_1</vt:lpstr>
      <vt:lpstr>bare_inspection_per_km</vt:lpstr>
      <vt:lpstr>bare_inspections_PV</vt:lpstr>
      <vt:lpstr>bare_opex</vt:lpstr>
      <vt:lpstr>bare_re_yr_1</vt:lpstr>
      <vt:lpstr>bare_roughness_yr_1</vt:lpstr>
      <vt:lpstr>bare_steel_percentage</vt:lpstr>
      <vt:lpstr>bare_steel_weight_t</vt:lpstr>
      <vt:lpstr>bare_total_usd</vt:lpstr>
      <vt:lpstr>bare_vel_yr_1_m_s</vt:lpstr>
      <vt:lpstr>bare_wall__yr_1_mm</vt:lpstr>
      <vt:lpstr>biocide_cost_yr</vt:lpstr>
      <vt:lpstr>biocide_dosage</vt:lpstr>
      <vt:lpstr>biocide_kg_yr</vt:lpstr>
      <vt:lpstr>biocide_price</vt:lpstr>
      <vt:lpstr>capex_steel_bare</vt:lpstr>
      <vt:lpstr>capex_steel_fbe</vt:lpstr>
      <vt:lpstr>chile_inland</vt:lpstr>
      <vt:lpstr>china_inland</vt:lpstr>
      <vt:lpstr>coated_capex</vt:lpstr>
      <vt:lpstr>coated_opex</vt:lpstr>
      <vt:lpstr>cost_per_steel_weight</vt:lpstr>
      <vt:lpstr>cost_per_steel_weight_t</vt:lpstr>
      <vt:lpstr>design_flow_rate</vt:lpstr>
      <vt:lpstr>design_flow_rate_l_s</vt:lpstr>
      <vt:lpstr>diff_friction_bare</vt:lpstr>
      <vt:lpstr>diff_inhibitors_bare</vt:lpstr>
      <vt:lpstr>diff_JFC</vt:lpstr>
      <vt:lpstr>diff_percent_usd</vt:lpstr>
      <vt:lpstr>diff_shop_coating</vt:lpstr>
      <vt:lpstr>diff_steel_bare</vt:lpstr>
      <vt:lpstr>diff_total_diff</vt:lpstr>
      <vt:lpstr>diff_total_fbe_usd</vt:lpstr>
      <vt:lpstr>diff_total_usd</vt:lpstr>
      <vt:lpstr>Dosage_plant_investment</vt:lpstr>
      <vt:lpstr>Dosing_investment</vt:lpstr>
      <vt:lpstr>Dosing_plant_service_yr</vt:lpstr>
      <vt:lpstr>dynamic_viscosity_of_water</vt:lpstr>
      <vt:lpstr>electrical_energy_usd_mwh</vt:lpstr>
      <vt:lpstr>Elevation_change</vt:lpstr>
      <vt:lpstr>Energy_table_text_bare</vt:lpstr>
      <vt:lpstr>Energy_table_text_fbe</vt:lpstr>
      <vt:lpstr>extra_friction_energy</vt:lpstr>
      <vt:lpstr>extra_inspections</vt:lpstr>
      <vt:lpstr>extra_inspections_bare</vt:lpstr>
      <vt:lpstr>extra_steel</vt:lpstr>
      <vt:lpstr>FBE_annual_Inspection</vt:lpstr>
      <vt:lpstr>FBE_cost_per_surface</vt:lpstr>
      <vt:lpstr>fbe_elevation_energy_PV</vt:lpstr>
      <vt:lpstr>fbe_friction_energy_PV</vt:lpstr>
      <vt:lpstr>fbe_inside_diameter_yr_1</vt:lpstr>
      <vt:lpstr>fbe_inside_surface</vt:lpstr>
      <vt:lpstr>fbe_inspection_per_km</vt:lpstr>
      <vt:lpstr>fbe_inspections_PV</vt:lpstr>
      <vt:lpstr>FBE_plus_bare</vt:lpstr>
      <vt:lpstr>FBE_steel_percentage</vt:lpstr>
      <vt:lpstr>FBE_Steel_Perecentage</vt:lpstr>
      <vt:lpstr>fbe_steel_weight_t</vt:lpstr>
      <vt:lpstr>fbe_total_usd</vt:lpstr>
      <vt:lpstr>fbe_wall__yr_1_mm</vt:lpstr>
      <vt:lpstr>field_coating_total</vt:lpstr>
      <vt:lpstr>field_coating_usd_joint</vt:lpstr>
      <vt:lpstr>field_coating_usd_per_joint</vt:lpstr>
      <vt:lpstr>field_Joint_Coating</vt:lpstr>
      <vt:lpstr>FJc_surface</vt:lpstr>
      <vt:lpstr>FJE_vs_SC_Times_per_surface</vt:lpstr>
      <vt:lpstr>fluid_density</vt:lpstr>
      <vt:lpstr>freight_cost</vt:lpstr>
      <vt:lpstr>freight_cost_t</vt:lpstr>
      <vt:lpstr>gravitational_acceleration</vt:lpstr>
      <vt:lpstr>hrc_price_usd_t</vt:lpstr>
      <vt:lpstr>inhibitor_cost_yr</vt:lpstr>
      <vt:lpstr>inhibitor_dosage</vt:lpstr>
      <vt:lpstr>inhibitor_kg_yr</vt:lpstr>
      <vt:lpstr>inhibitor_price</vt:lpstr>
      <vt:lpstr>inhibitors_injection</vt:lpstr>
      <vt:lpstr>interior_fbe_capex</vt:lpstr>
      <vt:lpstr>interior_fbe_capex_vs_steel_cost</vt:lpstr>
      <vt:lpstr>interior_fbe_thickness_mm</vt:lpstr>
      <vt:lpstr>joint_number</vt:lpstr>
      <vt:lpstr>ocean_freight</vt:lpstr>
      <vt:lpstr>outside_diameter</vt:lpstr>
      <vt:lpstr>outside_diameter_inches</vt:lpstr>
      <vt:lpstr>p_fjc_coated</vt:lpstr>
      <vt:lpstr>p_sc_coated</vt:lpstr>
      <vt:lpstr>p_steel_coated</vt:lpstr>
      <vt:lpstr>pipeline_length</vt:lpstr>
      <vt:lpstr>pipeline_length_km</vt:lpstr>
      <vt:lpstr>project_life</vt:lpstr>
      <vt:lpstr>Projected_kWh</vt:lpstr>
      <vt:lpstr>Projected_MWh</vt:lpstr>
      <vt:lpstr>Projected_Wh</vt:lpstr>
      <vt:lpstr>pump_efficiency</vt:lpstr>
      <vt:lpstr>pump_efficiency_percentage</vt:lpstr>
      <vt:lpstr>pv_inhibitors</vt:lpstr>
      <vt:lpstr>roughness_bare_yr_1_mm</vt:lpstr>
      <vt:lpstr>roughness_bare_yr_25_mm</vt:lpstr>
      <vt:lpstr>roughness_fbe_yr_1_mm</vt:lpstr>
      <vt:lpstr>roughness_fbe_yr_25_mm</vt:lpstr>
      <vt:lpstr>Sc_surface</vt:lpstr>
      <vt:lpstr>segment_length</vt:lpstr>
      <vt:lpstr>Shop_fbe_coating</vt:lpstr>
      <vt:lpstr>Steel_a1</vt:lpstr>
      <vt:lpstr>Steel_a2</vt:lpstr>
      <vt:lpstr>Steel_b1</vt:lpstr>
      <vt:lpstr>Steel_b2</vt:lpstr>
      <vt:lpstr>Steel_c1</vt:lpstr>
      <vt:lpstr>Steel_c2</vt:lpstr>
      <vt:lpstr>Steel_cost_difference</vt:lpstr>
      <vt:lpstr>Steel_diff_percentage</vt:lpstr>
      <vt:lpstr>Steel_Perecentage</vt:lpstr>
      <vt:lpstr>Times_coating_vs_FJC</vt:lpstr>
      <vt:lpstr>Total_Field_Shop_Steel</vt:lpstr>
      <vt:lpstr>Total_Steel_cost</vt:lpstr>
      <vt:lpstr>volume_1_m_bare</vt:lpstr>
      <vt:lpstr>volume_1_m_fbe</vt:lpstr>
      <vt:lpstr>volume_yr</vt:lpstr>
      <vt:lpstr>wall_corrosion_rate_mm_yr</vt:lpstr>
      <vt:lpstr>x70_steel_density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Mella</dc:creator>
  <cp:lastModifiedBy>JIM Mella</cp:lastModifiedBy>
  <dcterms:created xsi:type="dcterms:W3CDTF">2025-01-20T14:06:25Z</dcterms:created>
  <dcterms:modified xsi:type="dcterms:W3CDTF">2025-02-25T20:29:01Z</dcterms:modified>
</cp:coreProperties>
</file>