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gna/Dropbox/Victaulic/Vic · Projects/FBE vs Bare Pipelines/"/>
    </mc:Choice>
  </mc:AlternateContent>
  <xr:revisionPtr revIDLastSave="0" documentId="8_{7A98BD7B-9FF2-044C-A855-BC3BD53FAB1F}" xr6:coauthVersionLast="47" xr6:coauthVersionMax="47" xr10:uidLastSave="{00000000-0000-0000-0000-000000000000}"/>
  <bookViews>
    <workbookView xWindow="12380" yWindow="6400" windowWidth="27240" windowHeight="16440" xr2:uid="{4A80D9CF-9772-3D47-BAD7-B0FB3ABE71DF}"/>
  </bookViews>
  <sheets>
    <sheet name="FBE or not to FBE" sheetId="1" r:id="rId1"/>
  </sheets>
  <externalReferences>
    <externalReference r:id="rId2"/>
  </externalReferences>
  <definedNames>
    <definedName name="annual_operation_h">'FBE or not to FBE'!$G$12</definedName>
    <definedName name="corrosion_rate">'FBE or not to FBE'!$B$19</definedName>
    <definedName name="corrosion_rate_mm_yr">'FBE or not to FBE'!$C$19</definedName>
    <definedName name="cost_of_steel_MT">'FBE or not to FBE'!$F$4</definedName>
    <definedName name="diameter_mm">'FBE or not to FBE'!$C$10</definedName>
    <definedName name="discount_rate">'FBE or not to FBE'!$G$17</definedName>
    <definedName name="dynamic_viscosity_of_water_cP">'FBE or not to FBE'!$G$9</definedName>
    <definedName name="Elevation_change_m">'FBE or not to FBE'!$C$8</definedName>
    <definedName name="Energy_cost">'FBE or not to FBE'!$G$5</definedName>
    <definedName name="F_Design_Factor">[1]MAOP!$C$4</definedName>
    <definedName name="Flow_L_s">'FBE or not to FBE'!$C$5</definedName>
    <definedName name="Flow_m3_h">'FBE or not to FBE'!$C$7</definedName>
    <definedName name="Flow_rate_m3_s">'FBE or not to FBE'!$C$6</definedName>
    <definedName name="grav_accel">'FBE or not to FBE'!$G$14</definedName>
    <definedName name="pipe_id_bare_yr_1">'FBE or not to FBE'!$K$32</definedName>
    <definedName name="pipe_id_fbe_yr_1">'FBE or not to FBE'!$K$4</definedName>
    <definedName name="pipe_od_m">'FBE or not to FBE'!$C$11</definedName>
    <definedName name="pipe_segment_length_m">'FBE or not to FBE'!$C$15</definedName>
    <definedName name="pipeline_length_m">'FBE or not to FBE'!$C$4</definedName>
    <definedName name="pump_efficiency">'FBE or not to FBE'!$G$16</definedName>
    <definedName name="roughness_bare_pipe">'FBE or not to FBE'!$C$21</definedName>
    <definedName name="roughness_bare_pipe_yr_1">'FBE or not to FBE'!$C$21</definedName>
    <definedName name="roughness_bare_pipe_yr_25">'FBE or not to FBE'!$C$22</definedName>
    <definedName name="roughness_fbe_pipe">'FBE or not to FBE'!$G$21</definedName>
    <definedName name="roughness_FBE_yr_1">'FBE or not to FBE'!$G$21</definedName>
    <definedName name="roughness_FBE_yr_25">'FBE or not to FBE'!$G$22</definedName>
    <definedName name="Safety_factor">'FBE or not to FBE'!$C$13</definedName>
    <definedName name="Service_life_yr">'FBE or not to FBE'!$C$12</definedName>
    <definedName name="SMYS">[1]MAOP!$C$5</definedName>
    <definedName name="solver_eng" localSheetId="0" hidden="1">1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opt" localSheetId="0" hidden="1">'FBE or not to FBE'!$N$28</definedName>
    <definedName name="solver_typ" localSheetId="0" hidden="1">1</definedName>
    <definedName name="solver_val" localSheetId="0" hidden="1">0</definedName>
    <definedName name="solver_ver" localSheetId="0" hidden="1">2</definedName>
    <definedName name="Steel_density_kg_m3">'FBE or not to FBE'!$G$13</definedName>
    <definedName name="Steel_price_USD_MT">'FBE or not to FBE'!$G$4</definedName>
    <definedName name="Supply_contingency">'FBE or not to FBE'!$C$14</definedName>
    <definedName name="Utilization_factor">'FBE or not to FBE'!$G$15</definedName>
    <definedName name="v_kinematic_viscosity">'FBE or not to FBE'!$G$10</definedName>
    <definedName name="wall_thickness_corrosion_mm">'FBE or not to FBE'!$C$24</definedName>
    <definedName name="wall_thickness_mm">'FBE or not to FBE'!$G$20</definedName>
    <definedName name="wall_tol">[1]MAOP!$C$3</definedName>
    <definedName name="water_density">'FBE or not to FBE'!$G$8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M57" i="1" s="1"/>
  <c r="K56" i="1"/>
  <c r="AK46" i="1"/>
  <c r="AK44" i="1"/>
  <c r="AK40" i="1"/>
  <c r="C36" i="1"/>
  <c r="C37" i="1" s="1"/>
  <c r="M33" i="1"/>
  <c r="C33" i="1"/>
  <c r="C34" i="1" s="1"/>
  <c r="AT32" i="1"/>
  <c r="AU32" i="1" s="1"/>
  <c r="W32" i="1"/>
  <c r="M32" i="1"/>
  <c r="K32" i="1"/>
  <c r="AU31" i="1"/>
  <c r="AU30" i="1"/>
  <c r="AQ30" i="1"/>
  <c r="AU28" i="1"/>
  <c r="AR28" i="1"/>
  <c r="AM28" i="1"/>
  <c r="AR27" i="1"/>
  <c r="AL27" i="1"/>
  <c r="AU26" i="1"/>
  <c r="AR26" i="1"/>
  <c r="AM26" i="1"/>
  <c r="AL22" i="1"/>
  <c r="AL21" i="1"/>
  <c r="AY15" i="1"/>
  <c r="G12" i="1"/>
  <c r="G11" i="1"/>
  <c r="C11" i="1"/>
  <c r="G10" i="1"/>
  <c r="C10" i="1"/>
  <c r="C7" i="1"/>
  <c r="C6" i="1"/>
  <c r="M5" i="1"/>
  <c r="M6" i="1" s="1"/>
  <c r="K4" i="1"/>
  <c r="G4" i="1"/>
  <c r="C3" i="1"/>
  <c r="AL23" i="1" l="1"/>
  <c r="AL25" i="1" s="1"/>
  <c r="AL29" i="1" s="1"/>
  <c r="K5" i="1"/>
  <c r="W4" i="1"/>
  <c r="L4" i="1"/>
  <c r="O4" i="1" s="1"/>
  <c r="K57" i="1"/>
  <c r="K33" i="1" s="1"/>
  <c r="W56" i="1"/>
  <c r="L56" i="1"/>
  <c r="R56" i="1" s="1"/>
  <c r="S56" i="1" s="1"/>
  <c r="T56" i="1" s="1"/>
  <c r="M34" i="1"/>
  <c r="M7" i="1"/>
  <c r="N32" i="1"/>
  <c r="L32" i="1"/>
  <c r="O32" i="1" s="1"/>
  <c r="Q56" i="1" l="1"/>
  <c r="U56" i="1" s="1"/>
  <c r="N4" i="1"/>
  <c r="N56" i="1"/>
  <c r="O56" i="1"/>
  <c r="R4" i="1"/>
  <c r="S4" i="1" s="1"/>
  <c r="T4" i="1" s="1"/>
  <c r="M8" i="1"/>
  <c r="Q4" i="1"/>
  <c r="V4" i="1" s="1"/>
  <c r="K6" i="1"/>
  <c r="W5" i="1"/>
  <c r="L5" i="1"/>
  <c r="M35" i="1"/>
  <c r="Q32" i="1"/>
  <c r="W33" i="1"/>
  <c r="L33" i="1"/>
  <c r="N33" i="1" s="1"/>
  <c r="K34" i="1"/>
  <c r="R32" i="1"/>
  <c r="S32" i="1" s="1"/>
  <c r="T32" i="1" s="1"/>
  <c r="U4" i="1" s="1"/>
  <c r="Q33" i="1"/>
  <c r="M9" i="1" l="1"/>
  <c r="W34" i="1"/>
  <c r="K35" i="1"/>
  <c r="L34" i="1"/>
  <c r="Q34" i="1" s="1"/>
  <c r="O34" i="1"/>
  <c r="O33" i="1"/>
  <c r="N5" i="1"/>
  <c r="Q5" i="1"/>
  <c r="V5" i="1" s="1"/>
  <c r="O5" i="1"/>
  <c r="K7" i="1"/>
  <c r="R6" i="1"/>
  <c r="S6" i="1" s="1"/>
  <c r="T6" i="1" s="1"/>
  <c r="W6" i="1"/>
  <c r="O6" i="1"/>
  <c r="L6" i="1"/>
  <c r="Q6" i="1" s="1"/>
  <c r="V6" i="1" s="1"/>
  <c r="N6" i="1"/>
  <c r="R5" i="1"/>
  <c r="S5" i="1" s="1"/>
  <c r="T5" i="1" s="1"/>
  <c r="R33" i="1"/>
  <c r="S33" i="1" s="1"/>
  <c r="T33" i="1" s="1"/>
  <c r="U5" i="1" s="1"/>
  <c r="N34" i="1"/>
  <c r="M36" i="1"/>
  <c r="L7" i="1" l="1"/>
  <c r="R7" i="1" s="1"/>
  <c r="S7" i="1" s="1"/>
  <c r="T7" i="1" s="1"/>
  <c r="K8" i="1"/>
  <c r="W7" i="1"/>
  <c r="N7" i="1"/>
  <c r="Q7" i="1"/>
  <c r="V7" i="1" s="1"/>
  <c r="K36" i="1"/>
  <c r="W35" i="1"/>
  <c r="L35" i="1"/>
  <c r="M37" i="1"/>
  <c r="R34" i="1"/>
  <c r="S34" i="1" s="1"/>
  <c r="T34" i="1" s="1"/>
  <c r="U6" i="1" s="1"/>
  <c r="M10" i="1"/>
  <c r="M38" i="1" l="1"/>
  <c r="N35" i="1"/>
  <c r="Q35" i="1"/>
  <c r="W36" i="1"/>
  <c r="L36" i="1"/>
  <c r="R36" i="1" s="1"/>
  <c r="S36" i="1" s="1"/>
  <c r="T36" i="1" s="1"/>
  <c r="U8" i="1" s="1"/>
  <c r="K37" i="1"/>
  <c r="O35" i="1"/>
  <c r="M11" i="1"/>
  <c r="R35" i="1"/>
  <c r="S35" i="1" s="1"/>
  <c r="T35" i="1" s="1"/>
  <c r="U7" i="1" s="1"/>
  <c r="R8" i="1"/>
  <c r="S8" i="1" s="1"/>
  <c r="T8" i="1" s="1"/>
  <c r="L8" i="1"/>
  <c r="O8" i="1" s="1"/>
  <c r="W8" i="1"/>
  <c r="K9" i="1"/>
  <c r="N8" i="1"/>
  <c r="Q8" i="1"/>
  <c r="V8" i="1" s="1"/>
  <c r="O7" i="1"/>
  <c r="O36" i="1" l="1"/>
  <c r="Q36" i="1"/>
  <c r="N36" i="1"/>
  <c r="K10" i="1"/>
  <c r="W9" i="1"/>
  <c r="L9" i="1"/>
  <c r="O9" i="1" s="1"/>
  <c r="R9" i="1"/>
  <c r="S9" i="1" s="1"/>
  <c r="T9" i="1" s="1"/>
  <c r="Q9" i="1"/>
  <c r="V9" i="1" s="1"/>
  <c r="N9" i="1"/>
  <c r="M12" i="1"/>
  <c r="W37" i="1"/>
  <c r="K38" i="1"/>
  <c r="R37" i="1"/>
  <c r="S37" i="1" s="1"/>
  <c r="T37" i="1" s="1"/>
  <c r="U9" i="1" s="1"/>
  <c r="L37" i="1"/>
  <c r="O37" i="1" s="1"/>
  <c r="N37" i="1"/>
  <c r="Q37" i="1"/>
  <c r="M39" i="1"/>
  <c r="M13" i="1" l="1"/>
  <c r="M40" i="1"/>
  <c r="K39" i="1"/>
  <c r="W38" i="1"/>
  <c r="L38" i="1"/>
  <c r="Q38" i="1" s="1"/>
  <c r="U38" i="1" s="1"/>
  <c r="K11" i="1"/>
  <c r="W10" i="1"/>
  <c r="R10" i="1"/>
  <c r="S10" i="1" s="1"/>
  <c r="T10" i="1" s="1"/>
  <c r="L10" i="1"/>
  <c r="O10" i="1" s="1"/>
  <c r="N10" i="1"/>
  <c r="Q10" i="1"/>
  <c r="V10" i="1" s="1"/>
  <c r="W11" i="1" l="1"/>
  <c r="K12" i="1"/>
  <c r="L11" i="1"/>
  <c r="R11" i="1" s="1"/>
  <c r="S11" i="1" s="1"/>
  <c r="T11" i="1" s="1"/>
  <c r="Q11" i="1"/>
  <c r="V11" i="1" s="1"/>
  <c r="N11" i="1"/>
  <c r="W39" i="1"/>
  <c r="L39" i="1"/>
  <c r="Q39" i="1" s="1"/>
  <c r="U39" i="1" s="1"/>
  <c r="K40" i="1"/>
  <c r="O38" i="1"/>
  <c r="R38" i="1"/>
  <c r="S38" i="1" s="1"/>
  <c r="T38" i="1" s="1"/>
  <c r="U10" i="1" s="1"/>
  <c r="M41" i="1"/>
  <c r="N38" i="1"/>
  <c r="M14" i="1"/>
  <c r="M42" i="1" l="1"/>
  <c r="O11" i="1"/>
  <c r="K41" i="1"/>
  <c r="W40" i="1"/>
  <c r="L40" i="1"/>
  <c r="N40" i="1" s="1"/>
  <c r="R39" i="1"/>
  <c r="S39" i="1" s="1"/>
  <c r="T39" i="1" s="1"/>
  <c r="U11" i="1" s="1"/>
  <c r="O39" i="1"/>
  <c r="M15" i="1"/>
  <c r="N39" i="1"/>
  <c r="K13" i="1"/>
  <c r="W12" i="1"/>
  <c r="L12" i="1"/>
  <c r="O12" i="1" s="1"/>
  <c r="Q12" i="1"/>
  <c r="V12" i="1" s="1"/>
  <c r="N12" i="1"/>
  <c r="Q40" i="1" l="1"/>
  <c r="U40" i="1" s="1"/>
  <c r="W41" i="1"/>
  <c r="K42" i="1"/>
  <c r="L41" i="1"/>
  <c r="O41" i="1" s="1"/>
  <c r="M16" i="1"/>
  <c r="O40" i="1"/>
  <c r="R40" i="1"/>
  <c r="S40" i="1" s="1"/>
  <c r="T40" i="1" s="1"/>
  <c r="R12" i="1"/>
  <c r="S12" i="1" s="1"/>
  <c r="T12" i="1" s="1"/>
  <c r="Q41" i="1"/>
  <c r="U41" i="1" s="1"/>
  <c r="M43" i="1"/>
  <c r="L13" i="1"/>
  <c r="O13" i="1" s="1"/>
  <c r="W13" i="1"/>
  <c r="K14" i="1"/>
  <c r="Q13" i="1"/>
  <c r="V13" i="1" s="1"/>
  <c r="N13" i="1"/>
  <c r="N41" i="1"/>
  <c r="M44" i="1" l="1"/>
  <c r="M17" i="1"/>
  <c r="R41" i="1"/>
  <c r="S41" i="1" s="1"/>
  <c r="T41" i="1" s="1"/>
  <c r="R13" i="1"/>
  <c r="S13" i="1" s="1"/>
  <c r="T13" i="1" s="1"/>
  <c r="U12" i="1"/>
  <c r="K15" i="1"/>
  <c r="W14" i="1"/>
  <c r="L14" i="1"/>
  <c r="O14" i="1" s="1"/>
  <c r="L42" i="1"/>
  <c r="R42" i="1"/>
  <c r="S42" i="1" s="1"/>
  <c r="T42" i="1" s="1"/>
  <c r="O42" i="1"/>
  <c r="K43" i="1"/>
  <c r="W42" i="1"/>
  <c r="R14" i="1" l="1"/>
  <c r="S14" i="1" s="1"/>
  <c r="T14" i="1" s="1"/>
  <c r="U13" i="1"/>
  <c r="Q14" i="1"/>
  <c r="V14" i="1" s="1"/>
  <c r="N14" i="1"/>
  <c r="W15" i="1"/>
  <c r="K16" i="1"/>
  <c r="L15" i="1"/>
  <c r="R15" i="1" s="1"/>
  <c r="S15" i="1" s="1"/>
  <c r="T15" i="1" s="1"/>
  <c r="M18" i="1"/>
  <c r="K44" i="1"/>
  <c r="W43" i="1"/>
  <c r="L43" i="1"/>
  <c r="Q43" i="1" s="1"/>
  <c r="U43" i="1" s="1"/>
  <c r="U14" i="1"/>
  <c r="N43" i="1"/>
  <c r="Q42" i="1"/>
  <c r="U42" i="1" s="1"/>
  <c r="N42" i="1"/>
  <c r="M45" i="1"/>
  <c r="O15" i="1" l="1"/>
  <c r="M19" i="1"/>
  <c r="N15" i="1"/>
  <c r="W16" i="1"/>
  <c r="K17" i="1"/>
  <c r="L16" i="1"/>
  <c r="R16" i="1" s="1"/>
  <c r="S16" i="1" s="1"/>
  <c r="T16" i="1" s="1"/>
  <c r="N16" i="1"/>
  <c r="K45" i="1"/>
  <c r="W44" i="1"/>
  <c r="R44" i="1"/>
  <c r="S44" i="1" s="1"/>
  <c r="T44" i="1" s="1"/>
  <c r="O44" i="1"/>
  <c r="L44" i="1"/>
  <c r="N44" i="1"/>
  <c r="Q15" i="1"/>
  <c r="V15" i="1" s="1"/>
  <c r="Q44" i="1"/>
  <c r="U44" i="1" s="1"/>
  <c r="U31" i="1" s="1"/>
  <c r="M46" i="1"/>
  <c r="O43" i="1"/>
  <c r="R43" i="1"/>
  <c r="S43" i="1" s="1"/>
  <c r="T43" i="1" s="1"/>
  <c r="U15" i="1" s="1"/>
  <c r="L17" i="1" l="1"/>
  <c r="R17" i="1" s="1"/>
  <c r="S17" i="1" s="1"/>
  <c r="T17" i="1" s="1"/>
  <c r="K18" i="1"/>
  <c r="W17" i="1"/>
  <c r="N17" i="1"/>
  <c r="Q17" i="1"/>
  <c r="V17" i="1" s="1"/>
  <c r="O16" i="1"/>
  <c r="M20" i="1"/>
  <c r="U16" i="1"/>
  <c r="M47" i="1"/>
  <c r="L45" i="1"/>
  <c r="Q45" i="1" s="1"/>
  <c r="U45" i="1" s="1"/>
  <c r="K46" i="1"/>
  <c r="W45" i="1"/>
  <c r="Q16" i="1"/>
  <c r="V16" i="1" s="1"/>
  <c r="M48" i="1" l="1"/>
  <c r="M21" i="1"/>
  <c r="W46" i="1"/>
  <c r="L46" i="1"/>
  <c r="O46" i="1" s="1"/>
  <c r="K47" i="1"/>
  <c r="K19" i="1"/>
  <c r="W18" i="1"/>
  <c r="L18" i="1"/>
  <c r="Q18" i="1" s="1"/>
  <c r="V18" i="1" s="1"/>
  <c r="O45" i="1"/>
  <c r="O17" i="1"/>
  <c r="R45" i="1"/>
  <c r="S45" i="1" s="1"/>
  <c r="T45" i="1" s="1"/>
  <c r="U17" i="1" s="1"/>
  <c r="N45" i="1"/>
  <c r="R18" i="1" l="1"/>
  <c r="S18" i="1" s="1"/>
  <c r="T18" i="1" s="1"/>
  <c r="K48" i="1"/>
  <c r="W47" i="1"/>
  <c r="L47" i="1"/>
  <c r="N47" i="1" s="1"/>
  <c r="K20" i="1"/>
  <c r="W19" i="1"/>
  <c r="L19" i="1"/>
  <c r="R19" i="1" s="1"/>
  <c r="S19" i="1" s="1"/>
  <c r="T19" i="1" s="1"/>
  <c r="N19" i="1"/>
  <c r="Q19" i="1"/>
  <c r="V19" i="1" s="1"/>
  <c r="O18" i="1"/>
  <c r="N46" i="1"/>
  <c r="Q46" i="1"/>
  <c r="U46" i="1" s="1"/>
  <c r="R46" i="1"/>
  <c r="S46" i="1" s="1"/>
  <c r="T46" i="1" s="1"/>
  <c r="U18" i="1" s="1"/>
  <c r="M22" i="1"/>
  <c r="N18" i="1"/>
  <c r="M49" i="1"/>
  <c r="O19" i="1" l="1"/>
  <c r="O47" i="1"/>
  <c r="R47" i="1"/>
  <c r="S47" i="1" s="1"/>
  <c r="T47" i="1" s="1"/>
  <c r="U19" i="1" s="1"/>
  <c r="K49" i="1"/>
  <c r="W48" i="1"/>
  <c r="L48" i="1"/>
  <c r="R48" i="1" s="1"/>
  <c r="S48" i="1" s="1"/>
  <c r="T48" i="1" s="1"/>
  <c r="U20" i="1" s="1"/>
  <c r="M50" i="1"/>
  <c r="Q47" i="1"/>
  <c r="U47" i="1" s="1"/>
  <c r="O20" i="1"/>
  <c r="W20" i="1"/>
  <c r="K21" i="1"/>
  <c r="R20" i="1"/>
  <c r="S20" i="1" s="1"/>
  <c r="T20" i="1" s="1"/>
  <c r="L20" i="1"/>
  <c r="N20" i="1"/>
  <c r="Q20" i="1"/>
  <c r="V20" i="1" s="1"/>
  <c r="M23" i="1"/>
  <c r="L21" i="1" l="1"/>
  <c r="O21" i="1" s="1"/>
  <c r="K22" i="1"/>
  <c r="W21" i="1"/>
  <c r="Q21" i="1"/>
  <c r="V21" i="1" s="1"/>
  <c r="N21" i="1"/>
  <c r="M51" i="1"/>
  <c r="N48" i="1"/>
  <c r="Q48" i="1"/>
  <c r="U48" i="1" s="1"/>
  <c r="M24" i="1"/>
  <c r="R49" i="1"/>
  <c r="S49" i="1" s="1"/>
  <c r="T49" i="1" s="1"/>
  <c r="W49" i="1"/>
  <c r="K50" i="1"/>
  <c r="L49" i="1"/>
  <c r="O48" i="1"/>
  <c r="M52" i="1" l="1"/>
  <c r="K51" i="1"/>
  <c r="W50" i="1"/>
  <c r="L50" i="1"/>
  <c r="M25" i="1"/>
  <c r="U21" i="1"/>
  <c r="Q49" i="1"/>
  <c r="U49" i="1" s="1"/>
  <c r="N49" i="1"/>
  <c r="W22" i="1"/>
  <c r="O22" i="1"/>
  <c r="L22" i="1"/>
  <c r="R22" i="1" s="1"/>
  <c r="S22" i="1" s="1"/>
  <c r="T22" i="1" s="1"/>
  <c r="K23" i="1"/>
  <c r="Q22" i="1"/>
  <c r="V22" i="1" s="1"/>
  <c r="N22" i="1"/>
  <c r="R21" i="1"/>
  <c r="S21" i="1" s="1"/>
  <c r="T21" i="1" s="1"/>
  <c r="O49" i="1"/>
  <c r="N50" i="1" l="1"/>
  <c r="Q50" i="1"/>
  <c r="U50" i="1" s="1"/>
  <c r="M26" i="1"/>
  <c r="O50" i="1"/>
  <c r="R50" i="1"/>
  <c r="S50" i="1" s="1"/>
  <c r="T50" i="1" s="1"/>
  <c r="U22" i="1" s="1"/>
  <c r="M53" i="1"/>
  <c r="W51" i="1"/>
  <c r="K52" i="1"/>
  <c r="L51" i="1"/>
  <c r="Q51" i="1" s="1"/>
  <c r="U51" i="1" s="1"/>
  <c r="K24" i="1"/>
  <c r="W23" i="1"/>
  <c r="L23" i="1"/>
  <c r="O23" i="1" s="1"/>
  <c r="R23" i="1"/>
  <c r="S23" i="1" s="1"/>
  <c r="T23" i="1" s="1"/>
  <c r="Q23" i="1"/>
  <c r="V23" i="1" s="1"/>
  <c r="N23" i="1"/>
  <c r="R51" i="1" l="1"/>
  <c r="S51" i="1" s="1"/>
  <c r="T51" i="1" s="1"/>
  <c r="U23" i="1" s="1"/>
  <c r="M27" i="1"/>
  <c r="L52" i="1"/>
  <c r="N52" i="1" s="1"/>
  <c r="O52" i="1"/>
  <c r="W52" i="1"/>
  <c r="K53" i="1"/>
  <c r="Q52" i="1"/>
  <c r="U52" i="1" s="1"/>
  <c r="O51" i="1"/>
  <c r="M54" i="1"/>
  <c r="N51" i="1"/>
  <c r="K25" i="1"/>
  <c r="W24" i="1"/>
  <c r="L24" i="1"/>
  <c r="R24" i="1" s="1"/>
  <c r="S24" i="1" s="1"/>
  <c r="T24" i="1" s="1"/>
  <c r="N24" i="1"/>
  <c r="Q24" i="1"/>
  <c r="V24" i="1" s="1"/>
  <c r="M55" i="1" l="1"/>
  <c r="K54" i="1"/>
  <c r="W53" i="1"/>
  <c r="L53" i="1"/>
  <c r="R53" i="1" s="1"/>
  <c r="S53" i="1" s="1"/>
  <c r="T53" i="1" s="1"/>
  <c r="U25" i="1" s="1"/>
  <c r="R52" i="1"/>
  <c r="S52" i="1" s="1"/>
  <c r="T52" i="1" s="1"/>
  <c r="U24" i="1" s="1"/>
  <c r="M28" i="1"/>
  <c r="O24" i="1"/>
  <c r="O25" i="1"/>
  <c r="W25" i="1"/>
  <c r="R25" i="1"/>
  <c r="S25" i="1" s="1"/>
  <c r="T25" i="1" s="1"/>
  <c r="K26" i="1"/>
  <c r="L25" i="1"/>
  <c r="N25" i="1"/>
  <c r="Q25" i="1"/>
  <c r="V25" i="1" s="1"/>
  <c r="N53" i="1" l="1"/>
  <c r="Q53" i="1"/>
  <c r="U53" i="1" s="1"/>
  <c r="O53" i="1"/>
  <c r="K55" i="1"/>
  <c r="W54" i="1"/>
  <c r="L54" i="1"/>
  <c r="N54" i="1" s="1"/>
  <c r="L26" i="1"/>
  <c r="Q26" i="1" s="1"/>
  <c r="V26" i="1" s="1"/>
  <c r="K27" i="1"/>
  <c r="W26" i="1"/>
  <c r="R26" i="1" l="1"/>
  <c r="S26" i="1" s="1"/>
  <c r="T26" i="1" s="1"/>
  <c r="O54" i="1"/>
  <c r="K28" i="1"/>
  <c r="L27" i="1"/>
  <c r="N27" i="1" s="1"/>
  <c r="W27" i="1"/>
  <c r="Q27" i="1"/>
  <c r="V27" i="1" s="1"/>
  <c r="R54" i="1"/>
  <c r="S54" i="1" s="1"/>
  <c r="T54" i="1" s="1"/>
  <c r="U26" i="1" s="1"/>
  <c r="L55" i="1"/>
  <c r="R55" i="1" s="1"/>
  <c r="S55" i="1" s="1"/>
  <c r="T55" i="1" s="1"/>
  <c r="W55" i="1"/>
  <c r="O26" i="1"/>
  <c r="Q55" i="1"/>
  <c r="U55" i="1" s="1"/>
  <c r="N26" i="1"/>
  <c r="Q54" i="1"/>
  <c r="U54" i="1" s="1"/>
  <c r="O55" i="1" l="1"/>
  <c r="O27" i="1"/>
  <c r="N55" i="1"/>
  <c r="R27" i="1"/>
  <c r="S27" i="1" s="1"/>
  <c r="T27" i="1" s="1"/>
  <c r="U27" i="1" s="1"/>
  <c r="W28" i="1"/>
  <c r="L28" i="1"/>
  <c r="O28" i="1" s="1"/>
  <c r="N28" i="1"/>
  <c r="Q28" i="1"/>
  <c r="V28" i="1" s="1"/>
  <c r="R28" i="1" l="1"/>
  <c r="S28" i="1" s="1"/>
  <c r="T28" i="1" s="1"/>
  <c r="U28" i="1" s="1"/>
</calcChain>
</file>

<file path=xl/sharedStrings.xml><?xml version="1.0" encoding="utf-8"?>
<sst xmlns="http://schemas.openxmlformats.org/spreadsheetml/2006/main" count="137" uniqueCount="99">
  <si>
    <t>Pipeline Main Variables</t>
  </si>
  <si>
    <t>Name</t>
  </si>
  <si>
    <t>variable</t>
  </si>
  <si>
    <t>units</t>
  </si>
  <si>
    <t>FBE Coated Case</t>
  </si>
  <si>
    <t>Pipeline lenght</t>
  </si>
  <si>
    <t>km</t>
  </si>
  <si>
    <t>Year</t>
  </si>
  <si>
    <t>Inner diameter</t>
  </si>
  <si>
    <t>Flow vel</t>
  </si>
  <si>
    <t>Roughness factor</t>
  </si>
  <si>
    <t>Solve for f</t>
  </si>
  <si>
    <t>Reinlods Num</t>
  </si>
  <si>
    <t>Friction Factor</t>
  </si>
  <si>
    <t>f with Colebrook-White Equation</t>
  </si>
  <si>
    <t>Friction Head Loss</t>
  </si>
  <si>
    <t>Pump Total Power</t>
  </si>
  <si>
    <t>OPEX</t>
  </si>
  <si>
    <t>Dif OPEX</t>
  </si>
  <si>
    <t>Inner Diameter</t>
  </si>
  <si>
    <t>m</t>
  </si>
  <si>
    <t>Steel cost including transportation</t>
  </si>
  <si>
    <t>US$/MT</t>
  </si>
  <si>
    <t>Design flow rate</t>
  </si>
  <si>
    <t>L/s</t>
  </si>
  <si>
    <t>Electrical energy cost</t>
  </si>
  <si>
    <t>US$/kWh</t>
  </si>
  <si>
    <t>m³/s</t>
  </si>
  <si>
    <t>m³/h</t>
  </si>
  <si>
    <t>Static Head (elevation change)</t>
  </si>
  <si>
    <t>Density of water</t>
  </si>
  <si>
    <t>kg/m³</t>
  </si>
  <si>
    <t>Pipeline Outside diameter</t>
  </si>
  <si>
    <t>inches</t>
  </si>
  <si>
    <t>Dynamic Viscosity of water</t>
  </si>
  <si>
    <t>cP</t>
  </si>
  <si>
    <t>mm</t>
  </si>
  <si>
    <t>Kinematic viscosity of water</t>
  </si>
  <si>
    <t>m²/s</t>
  </si>
  <si>
    <t>cSt</t>
  </si>
  <si>
    <t>Service life</t>
  </si>
  <si>
    <t>years</t>
  </si>
  <si>
    <t>Annual hours of pump operation</t>
  </si>
  <si>
    <t>h/yr</t>
  </si>
  <si>
    <t>Safety Factor</t>
  </si>
  <si>
    <t>API 5L X70 · Steel density</t>
  </si>
  <si>
    <t>Supply contingency</t>
  </si>
  <si>
    <t>Gravitational acceleration</t>
  </si>
  <si>
    <t>m/s²</t>
  </si>
  <si>
    <t>Pipe segment length</t>
  </si>
  <si>
    <t>FBE thickness</t>
  </si>
  <si>
    <t>Pump efficiency</t>
  </si>
  <si>
    <t>FBE repair robot cost per joint</t>
  </si>
  <si>
    <t>US$/joint</t>
  </si>
  <si>
    <t>Tasa descuento anual para cálculo VAN</t>
  </si>
  <si>
    <t>Welding cost per joint</t>
  </si>
  <si>
    <t>Wall thickness corrosion rate</t>
  </si>
  <si>
    <t>mm/yr</t>
  </si>
  <si>
    <t>Difference</t>
  </si>
  <si>
    <t>Wall thickness. No corrosion.</t>
  </si>
  <si>
    <t>Bare</t>
  </si>
  <si>
    <t>FBE</t>
  </si>
  <si>
    <t>Units</t>
  </si>
  <si>
    <t>Roughness factor bare pipe year 1</t>
  </si>
  <si>
    <t>Roughness factor FBE coated pipe year 1</t>
  </si>
  <si>
    <t>Small ID &amp; Roughness Extra Energy</t>
  </si>
  <si>
    <t>MUS$/yr</t>
  </si>
  <si>
    <t>Roughness factor bare pipe year 25</t>
  </si>
  <si>
    <t>Roughness factor FBE coated pipe year 25</t>
  </si>
  <si>
    <t>Corrosion Inhibitors</t>
  </si>
  <si>
    <t>Annual expenses</t>
  </si>
  <si>
    <t>CAPEX</t>
  </si>
  <si>
    <t>Present  value annual expenses</t>
  </si>
  <si>
    <t>MUS$</t>
  </si>
  <si>
    <t>$/L/s</t>
  </si>
  <si>
    <t>FBE repair robot</t>
  </si>
  <si>
    <t>PASIVAN 550</t>
  </si>
  <si>
    <t>Corrosion inhibitor through passivation</t>
  </si>
  <si>
    <t>Extra Steel</t>
  </si>
  <si>
    <t>BC 130</t>
  </si>
  <si>
    <t>Deoxygenation Agents</t>
  </si>
  <si>
    <t>FBE inner coating</t>
  </si>
  <si>
    <t>Servicio de aplicación y control</t>
  </si>
  <si>
    <t>Biocide</t>
  </si>
  <si>
    <t>Total</t>
  </si>
  <si>
    <t>pH Adjusters</t>
  </si>
  <si>
    <t>Bare Pipe Case</t>
  </si>
  <si>
    <t>Energy Cost</t>
  </si>
  <si>
    <t>Inner
diameter</t>
  </si>
  <si>
    <t>Reinlods
Num</t>
  </si>
  <si>
    <t>f with
CBrook-W</t>
  </si>
  <si>
    <t>Friction
Head Loss</t>
  </si>
  <si>
    <t>Pump
Total Power</t>
  </si>
  <si>
    <t>Application and QA service</t>
  </si>
  <si>
    <t>CAPEX · Cost of Steel · Bare Pipe</t>
  </si>
  <si>
    <t>W</t>
  </si>
  <si>
    <t>kg/m</t>
  </si>
  <si>
    <t>W total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</si>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</sst>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64" formatCode="0.00\ &quot;mm&quot;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0.00000\ &quot;m&quot;"/>
    <numFmt numFmtId="171" formatCode="0.0000\ &quot;m/s&quot;"/>
    <numFmt numFmtId="172" formatCode="0.000\ &quot;mm&quot;"/>
    <numFmt numFmtId="173" formatCode="_-* #,##0.00000000_-;\-* #,##0.00000000_-;_-* &quot;-&quot;??_-;_-@_-"/>
    <numFmt numFmtId="174" formatCode="_-* #,##0.0000000_-;\-* #,##0.0000000_-;_-* &quot;-&quot;_-;_-@_-"/>
    <numFmt numFmtId="175" formatCode="0.0\ &quot;m&quot;"/>
    <numFmt numFmtId="176" formatCode="0.0\ &quot;kW&quot;"/>
    <numFmt numFmtId="177" formatCode="_(* #,##0.000000000_);_(* \(#,##0.000000000\);_(* &quot;-&quot;??_);_(@_)"/>
    <numFmt numFmtId="178" formatCode="0.0"/>
    <numFmt numFmtId="179" formatCode="0.00\ &quot;M/yr&quot;"/>
    <numFmt numFmtId="180" formatCode="0.0\ &quot;M&quot;"/>
    <numFmt numFmtId="181" formatCode="_(* #,##0.000000_);_(* \(#,##0.000000\);_(* &quot;-&quot;??_);_(@_)"/>
    <numFmt numFmtId="182" formatCode="_-* #,##0.00000_-;\-* #,##0.00000_-;_-* &quot;-&quot;_-;_-@_-"/>
    <numFmt numFmtId="183" formatCode="#,##0\ &quot;kW&quot;"/>
    <numFmt numFmtId="184" formatCode="_(* #,##0.00000000_);_(* \(#,##0.00000000\);_(* &quot;-&quot;??_);_(@_)"/>
    <numFmt numFmtId="185" formatCode="_(* #,##0.0000000_);_(* \(#,##0.0000000\);_(* &quot;-&quot;??_);_(@_)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8"/>
      <color theme="1"/>
      <name val="Helvetica Neue"/>
      <family val="2"/>
    </font>
    <font>
      <sz val="8"/>
      <color theme="1"/>
      <name val="Cambria"/>
      <family val="1"/>
    </font>
    <font>
      <b/>
      <sz val="8"/>
      <color theme="1"/>
      <name val="Cambria"/>
      <family val="1"/>
    </font>
    <font>
      <sz val="12"/>
      <color theme="1"/>
      <name val="Calibri"/>
      <family val="2"/>
    </font>
    <font>
      <b/>
      <sz val="12"/>
      <color theme="0"/>
      <name val="Helvetica Neue"/>
      <family val="2"/>
    </font>
    <font>
      <sz val="12"/>
      <color theme="3" tint="9.9978637043366805E-2"/>
      <name val="Helvetica Neue"/>
      <family val="2"/>
    </font>
    <font>
      <sz val="12"/>
      <color rgb="FFC00000"/>
      <name val="Helvetica Neue"/>
      <family val="2"/>
    </font>
    <font>
      <sz val="12"/>
      <name val="Helvetica Neue"/>
      <family val="2"/>
    </font>
    <font>
      <b/>
      <sz val="12"/>
      <color theme="3" tint="9.9978637043366805E-2"/>
      <name val="Helvetica Neue"/>
      <family val="2"/>
    </font>
    <font>
      <b/>
      <sz val="12"/>
      <color rgb="FFC00000"/>
      <name val="Helvetica Neue"/>
      <family val="2"/>
    </font>
    <font>
      <sz val="12"/>
      <color theme="1"/>
      <name val="Helvetica Neue Light"/>
    </font>
    <font>
      <b/>
      <sz val="11"/>
      <color theme="1"/>
      <name val="Helvetica Neue"/>
      <family val="2"/>
    </font>
    <font>
      <sz val="8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64" fontId="5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0" borderId="4" xfId="0" applyFont="1" applyBorder="1" applyAlignment="1">
      <alignment horizontal="right"/>
    </xf>
    <xf numFmtId="166" fontId="3" fillId="0" borderId="0" xfId="1" applyNumberFormat="1" applyFont="1" applyFill="1" applyBorder="1"/>
    <xf numFmtId="167" fontId="3" fillId="0" borderId="0" xfId="1" applyNumberFormat="1" applyFont="1" applyFill="1" applyBorder="1"/>
    <xf numFmtId="167" fontId="3" fillId="0" borderId="5" xfId="1" applyNumberFormat="1" applyFont="1" applyFill="1" applyBorder="1"/>
    <xf numFmtId="0" fontId="5" fillId="0" borderId="0" xfId="0" applyFont="1"/>
    <xf numFmtId="0" fontId="5" fillId="0" borderId="0" xfId="0" applyFont="1" applyAlignment="1">
      <alignment horizontal="right"/>
    </xf>
    <xf numFmtId="167" fontId="3" fillId="2" borderId="0" xfId="1" applyNumberFormat="1" applyFont="1" applyFill="1" applyBorder="1"/>
    <xf numFmtId="169" fontId="3" fillId="2" borderId="0" xfId="3" applyNumberFormat="1" applyFont="1" applyFill="1" applyBorder="1"/>
    <xf numFmtId="0" fontId="3" fillId="0" borderId="5" xfId="0" applyFont="1" applyBorder="1"/>
    <xf numFmtId="170" fontId="5" fillId="0" borderId="0" xfId="2" applyNumberFormat="1" applyFont="1"/>
    <xf numFmtId="171" fontId="5" fillId="0" borderId="0" xfId="0" applyNumberFormat="1" applyFont="1"/>
    <xf numFmtId="172" fontId="5" fillId="0" borderId="0" xfId="2" applyNumberFormat="1" applyFont="1"/>
    <xf numFmtId="173" fontId="5" fillId="0" borderId="0" xfId="0" applyNumberFormat="1" applyFont="1"/>
    <xf numFmtId="41" fontId="5" fillId="0" borderId="0" xfId="2" applyFont="1"/>
    <xf numFmtId="174" fontId="5" fillId="0" borderId="0" xfId="2" applyNumberFormat="1" applyFont="1"/>
    <xf numFmtId="175" fontId="5" fillId="0" borderId="0" xfId="2" applyNumberFormat="1" applyFont="1"/>
    <xf numFmtId="176" fontId="5" fillId="0" borderId="0" xfId="0" applyNumberFormat="1" applyFont="1"/>
    <xf numFmtId="42" fontId="5" fillId="0" borderId="0" xfId="4" applyFont="1"/>
    <xf numFmtId="42" fontId="6" fillId="0" borderId="0" xfId="4" applyFont="1"/>
    <xf numFmtId="174" fontId="4" fillId="0" borderId="0" xfId="2" applyNumberFormat="1" applyFont="1"/>
    <xf numFmtId="0" fontId="3" fillId="2" borderId="0" xfId="0" applyFont="1" applyFill="1"/>
    <xf numFmtId="0" fontId="3" fillId="2" borderId="0" xfId="3" applyNumberFormat="1" applyFont="1" applyFill="1" applyBorder="1"/>
    <xf numFmtId="168" fontId="3" fillId="2" borderId="0" xfId="3" applyFont="1" applyFill="1" applyBorder="1"/>
    <xf numFmtId="0" fontId="7" fillId="0" borderId="0" xfId="0" applyFont="1"/>
    <xf numFmtId="167" fontId="3" fillId="0" borderId="0" xfId="1" applyNumberFormat="1" applyFont="1" applyBorder="1"/>
    <xf numFmtId="177" fontId="3" fillId="0" borderId="0" xfId="1" applyNumberFormat="1" applyFont="1" applyFill="1" applyBorder="1"/>
    <xf numFmtId="178" fontId="3" fillId="2" borderId="0" xfId="0" applyNumberFormat="1" applyFont="1" applyFill="1"/>
    <xf numFmtId="9" fontId="3" fillId="2" borderId="0" xfId="0" applyNumberFormat="1" applyFont="1" applyFill="1"/>
    <xf numFmtId="178" fontId="3" fillId="0" borderId="0" xfId="0" applyNumberFormat="1" applyFont="1"/>
    <xf numFmtId="0" fontId="3" fillId="0" borderId="6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 textRotation="90"/>
    </xf>
    <xf numFmtId="0" fontId="3" fillId="4" borderId="2" xfId="0" applyFont="1" applyFill="1" applyBorder="1" applyAlignment="1">
      <alignment horizontal="right"/>
    </xf>
    <xf numFmtId="179" fontId="9" fillId="4" borderId="6" xfId="5" applyNumberFormat="1" applyFont="1" applyFill="1" applyBorder="1"/>
    <xf numFmtId="0" fontId="10" fillId="0" borderId="0" xfId="0" applyFont="1"/>
    <xf numFmtId="0" fontId="3" fillId="4" borderId="0" xfId="0" applyFont="1" applyFill="1"/>
    <xf numFmtId="0" fontId="3" fillId="0" borderId="5" xfId="0" applyFont="1" applyBorder="1" applyAlignment="1">
      <alignment horizontal="center" vertical="center" textRotation="90"/>
    </xf>
    <xf numFmtId="0" fontId="3" fillId="4" borderId="8" xfId="0" applyFont="1" applyFill="1" applyBorder="1" applyAlignment="1">
      <alignment horizontal="right"/>
    </xf>
    <xf numFmtId="0" fontId="3" fillId="0" borderId="9" xfId="0" applyFont="1" applyBorder="1" applyAlignment="1">
      <alignment horizontal="center" vertical="center" textRotation="90"/>
    </xf>
    <xf numFmtId="0" fontId="11" fillId="0" borderId="0" xfId="0" applyFont="1"/>
    <xf numFmtId="180" fontId="9" fillId="0" borderId="0" xfId="0" applyNumberFormat="1" applyFont="1"/>
    <xf numFmtId="0" fontId="3" fillId="0" borderId="10" xfId="0" applyFont="1" applyBorder="1" applyAlignment="1">
      <alignment horizontal="center" vertical="center" textRotation="90"/>
    </xf>
    <xf numFmtId="0" fontId="3" fillId="4" borderId="7" xfId="0" applyFont="1" applyFill="1" applyBorder="1" applyAlignment="1">
      <alignment horizontal="right"/>
    </xf>
    <xf numFmtId="41" fontId="12" fillId="4" borderId="6" xfId="2" applyFont="1" applyFill="1" applyBorder="1"/>
    <xf numFmtId="41" fontId="13" fillId="0" borderId="0" xfId="2" applyFont="1"/>
    <xf numFmtId="0" fontId="3" fillId="5" borderId="0" xfId="0" applyFont="1" applyFill="1"/>
    <xf numFmtId="0" fontId="3" fillId="6" borderId="11" xfId="0" applyFont="1" applyFill="1" applyBorder="1" applyAlignment="1">
      <alignment horizontal="right"/>
    </xf>
    <xf numFmtId="41" fontId="12" fillId="0" borderId="0" xfId="2" applyFont="1"/>
    <xf numFmtId="41" fontId="13" fillId="5" borderId="6" xfId="2" applyFont="1" applyFill="1" applyBorder="1"/>
    <xf numFmtId="0" fontId="14" fillId="0" borderId="12" xfId="0" applyFont="1" applyBorder="1" applyAlignment="1">
      <alignment vertical="center"/>
    </xf>
    <xf numFmtId="0" fontId="3" fillId="5" borderId="11" xfId="0" applyFont="1" applyFill="1" applyBorder="1" applyAlignment="1">
      <alignment horizontal="right"/>
    </xf>
    <xf numFmtId="41" fontId="12" fillId="5" borderId="6" xfId="2" applyFont="1" applyFill="1" applyBorder="1"/>
    <xf numFmtId="0" fontId="3" fillId="5" borderId="13" xfId="0" applyFont="1" applyFill="1" applyBorder="1" applyAlignment="1">
      <alignment horizontal="right"/>
    </xf>
    <xf numFmtId="41" fontId="12" fillId="0" borderId="8" xfId="2" applyFont="1" applyBorder="1"/>
    <xf numFmtId="0" fontId="14" fillId="0" borderId="14" xfId="0" applyFont="1" applyBorder="1" applyAlignment="1">
      <alignment vertical="center"/>
    </xf>
    <xf numFmtId="0" fontId="8" fillId="3" borderId="0" xfId="0" applyFont="1" applyFill="1" applyAlignment="1">
      <alignment horizontal="right"/>
    </xf>
    <xf numFmtId="180" fontId="12" fillId="0" borderId="6" xfId="0" applyNumberFormat="1" applyFont="1" applyBorder="1"/>
    <xf numFmtId="0" fontId="8" fillId="0" borderId="0" xfId="0" applyFont="1"/>
    <xf numFmtId="0" fontId="3" fillId="0" borderId="15" xfId="0" applyFont="1" applyBorder="1" applyAlignment="1">
      <alignment horizontal="right"/>
    </xf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0" fontId="3" fillId="0" borderId="9" xfId="0" applyFont="1" applyBorder="1"/>
    <xf numFmtId="0" fontId="15" fillId="0" borderId="0" xfId="0" applyFont="1"/>
    <xf numFmtId="42" fontId="4" fillId="0" borderId="0" xfId="4" applyFont="1"/>
    <xf numFmtId="42" fontId="3" fillId="0" borderId="0" xfId="4" applyFont="1"/>
    <xf numFmtId="0" fontId="4" fillId="0" borderId="0" xfId="0" applyFont="1" applyAlignment="1">
      <alignment horizontal="center" wrapText="1"/>
    </xf>
    <xf numFmtId="42" fontId="4" fillId="0" borderId="0" xfId="4" applyFont="1" applyAlignment="1">
      <alignment horizontal="center" wrapText="1"/>
    </xf>
    <xf numFmtId="181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64" fontId="5" fillId="0" borderId="0" xfId="2" applyNumberFormat="1" applyFont="1" applyAlignment="1">
      <alignment wrapText="1"/>
    </xf>
    <xf numFmtId="170" fontId="4" fillId="0" borderId="0" xfId="2" applyNumberFormat="1" applyFont="1"/>
    <xf numFmtId="171" fontId="4" fillId="0" borderId="0" xfId="0" applyNumberFormat="1" applyFont="1"/>
    <xf numFmtId="172" fontId="4" fillId="0" borderId="0" xfId="2" applyNumberFormat="1" applyFont="1"/>
    <xf numFmtId="173" fontId="16" fillId="0" borderId="0" xfId="0" applyNumberFormat="1" applyFont="1"/>
    <xf numFmtId="1" fontId="16" fillId="0" borderId="0" xfId="2" applyNumberFormat="1" applyFont="1"/>
    <xf numFmtId="182" fontId="4" fillId="0" borderId="0" xfId="2" applyNumberFormat="1" applyFont="1"/>
    <xf numFmtId="175" fontId="4" fillId="0" borderId="0" xfId="2" applyNumberFormat="1" applyFont="1"/>
    <xf numFmtId="183" fontId="4" fillId="0" borderId="0" xfId="1" applyNumberFormat="1" applyFont="1"/>
    <xf numFmtId="181" fontId="4" fillId="0" borderId="0" xfId="0" applyNumberFormat="1" applyFont="1"/>
    <xf numFmtId="181" fontId="4" fillId="0" borderId="0" xfId="1" applyNumberFormat="1" applyFont="1" applyFill="1"/>
    <xf numFmtId="184" fontId="4" fillId="0" borderId="0" xfId="0" applyNumberFormat="1" applyFont="1"/>
    <xf numFmtId="167" fontId="3" fillId="0" borderId="0" xfId="1" applyNumberFormat="1" applyFont="1"/>
    <xf numFmtId="44" fontId="3" fillId="0" borderId="0" xfId="0" applyNumberFormat="1" applyFont="1"/>
    <xf numFmtId="41" fontId="3" fillId="0" borderId="0" xfId="2" applyFont="1"/>
    <xf numFmtId="185" fontId="3" fillId="0" borderId="0" xfId="1" applyNumberFormat="1" applyFont="1" applyFill="1"/>
    <xf numFmtId="0" fontId="4" fillId="7" borderId="0" xfId="0" applyFont="1" applyFill="1"/>
  </cellXfs>
  <cellStyles count="6">
    <cellStyle name="Comma" xfId="1" builtinId="3"/>
    <cellStyle name="Comma [0]" xfId="2" builtinId="6"/>
    <cellStyle name="Currency" xfId="3" builtinId="4"/>
    <cellStyle name="Currency [0]" xfId="4" builtinId="7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'FBE or not to FBE'!$U$3</c:f>
              <c:strCache>
                <c:ptCount val="1"/>
                <c:pt idx="0">
                  <c:v>Dif OPEX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'FBE or not to FBE'!$J$4:$J$28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'FBE or not to FBE'!$U$4:$U$28</c:f>
              <c:numCache>
                <c:formatCode>_("$"* #,##0_);_("$"* \(#,##0\);_("$"* "-"_);_(@_)</c:formatCode>
                <c:ptCount val="25"/>
                <c:pt idx="0">
                  <c:v>494651.17964555137</c:v>
                </c:pt>
                <c:pt idx="1">
                  <c:v>496244.57981803268</c:v>
                </c:pt>
                <c:pt idx="2">
                  <c:v>495597.79324686527</c:v>
                </c:pt>
                <c:pt idx="3">
                  <c:v>494712.44036188163</c:v>
                </c:pt>
                <c:pt idx="4">
                  <c:v>493293.12386808172</c:v>
                </c:pt>
                <c:pt idx="5">
                  <c:v>492136.09891260788</c:v>
                </c:pt>
                <c:pt idx="6">
                  <c:v>490455.93909368478</c:v>
                </c:pt>
                <c:pt idx="7">
                  <c:v>488852.06744300947</c:v>
                </c:pt>
                <c:pt idx="8">
                  <c:v>487043.49954684079</c:v>
                </c:pt>
                <c:pt idx="9">
                  <c:v>485041.54786334001</c:v>
                </c:pt>
                <c:pt idx="10">
                  <c:v>489139.38185143284</c:v>
                </c:pt>
                <c:pt idx="11">
                  <c:v>480498.14341047034</c:v>
                </c:pt>
                <c:pt idx="12">
                  <c:v>477975.0216069743</c:v>
                </c:pt>
                <c:pt idx="13">
                  <c:v>475295.34911513329</c:v>
                </c:pt>
                <c:pt idx="14">
                  <c:v>472466.66242542677</c:v>
                </c:pt>
                <c:pt idx="15">
                  <c:v>469495.96344163455</c:v>
                </c:pt>
                <c:pt idx="16">
                  <c:v>466389.77182896249</c:v>
                </c:pt>
                <c:pt idx="17">
                  <c:v>463154.1709460225</c:v>
                </c:pt>
                <c:pt idx="18">
                  <c:v>459794.84829066321</c:v>
                </c:pt>
                <c:pt idx="19">
                  <c:v>456317.13123584911</c:v>
                </c:pt>
                <c:pt idx="20">
                  <c:v>452726.01870623976</c:v>
                </c:pt>
                <c:pt idx="21">
                  <c:v>449026.2093431931</c:v>
                </c:pt>
                <c:pt idx="22">
                  <c:v>445222.1266212333</c:v>
                </c:pt>
                <c:pt idx="23">
                  <c:v>441317.9413090013</c:v>
                </c:pt>
                <c:pt idx="24">
                  <c:v>447298.86565870047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3-A54D-A20B-C9CBA7684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61616"/>
        <c:axId val="819063344"/>
      </c:scatterChart>
      <c:valAx>
        <c:axId val="8190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819063344"/>
        <c:crosses val="autoZero"/>
        <c:crossBetween val="midCat"/>
      </c:valAx>
      <c:valAx>
        <c:axId val="8190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8190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63500</xdr:colOff>
      <xdr:row>15</xdr:row>
      <xdr:rowOff>88900</xdr:rowOff>
    </xdr:from>
    <xdr:to>
      <xdr:col>44</xdr:col>
      <xdr:colOff>931333</xdr:colOff>
      <xdr:row>23</xdr:row>
      <xdr:rowOff>8218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220C3F-9667-694B-9CAD-38ECA7442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98700" y="3136900"/>
          <a:ext cx="3369733" cy="1544918"/>
        </a:xfrm>
        <a:prstGeom prst="rect">
          <a:avLst/>
        </a:prstGeom>
      </xdr:spPr>
    </xdr:pic>
    <xdr:clientData/>
  </xdr:twoCellAnchor>
  <xdr:twoCellAnchor>
    <xdr:from>
      <xdr:col>55</xdr:col>
      <xdr:colOff>607218</xdr:colOff>
      <xdr:row>2</xdr:row>
      <xdr:rowOff>9524</xdr:rowOff>
    </xdr:from>
    <xdr:to>
      <xdr:col>60</xdr:col>
      <xdr:colOff>853280</xdr:colOff>
      <xdr:row>15</xdr:row>
      <xdr:rowOff>69849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0D797-D4A8-9D42-894F-9EC6AEBE3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gna/Dropbox/Victaulic/MS%20Office/XLS/Pipeline%20&#183;%20FBE%20&#183;%20X07%20&#183;%20Barlow.xlsx" TargetMode="External"/><Relationship Id="rId1" Type="http://schemas.openxmlformats.org/officeDocument/2006/relationships/externalLinkPath" Target="/Users/igna/Dropbox/Victaulic/MS%20Office/XLS/Pipeline%20&#183;%20FBE%20&#183;%20X07%20&#183;%20Bar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OP"/>
      <sheetName val="Barlow"/>
      <sheetName val="Price"/>
      <sheetName val="Amit Projects"/>
      <sheetName val="FBE or not to FBE"/>
      <sheetName val="Example"/>
      <sheetName val="TEA rejection"/>
      <sheetName val="Pipeline"/>
    </sheetNames>
    <sheetDataSet>
      <sheetData sheetId="0">
        <row r="3">
          <cell r="C3">
            <v>0.125</v>
          </cell>
        </row>
        <row r="4">
          <cell r="C4">
            <v>0.72</v>
          </cell>
        </row>
        <row r="5">
          <cell r="C5">
            <v>482.75862068965517</v>
          </cell>
        </row>
      </sheetData>
      <sheetData sheetId="1"/>
      <sheetData sheetId="2"/>
      <sheetData sheetId="3"/>
      <sheetData sheetId="4">
        <row r="3">
          <cell r="U3" t="str">
            <v>Dif OPEX</v>
          </cell>
        </row>
        <row r="4">
          <cell r="J4">
            <v>1</v>
          </cell>
          <cell r="U4">
            <v>494651.17964555137</v>
          </cell>
        </row>
        <row r="5">
          <cell r="J5">
            <v>2</v>
          </cell>
          <cell r="U5">
            <v>496244.57981803268</v>
          </cell>
        </row>
        <row r="6">
          <cell r="J6">
            <v>3</v>
          </cell>
          <cell r="U6">
            <v>495597.79324686527</v>
          </cell>
        </row>
        <row r="7">
          <cell r="J7">
            <v>4</v>
          </cell>
          <cell r="U7">
            <v>494712.44036188163</v>
          </cell>
        </row>
        <row r="8">
          <cell r="J8">
            <v>5</v>
          </cell>
          <cell r="U8">
            <v>493293.12386808172</v>
          </cell>
        </row>
        <row r="9">
          <cell r="J9">
            <v>6</v>
          </cell>
          <cell r="U9">
            <v>492136.09891260788</v>
          </cell>
        </row>
        <row r="10">
          <cell r="J10">
            <v>7</v>
          </cell>
          <cell r="U10">
            <v>490455.93909368478</v>
          </cell>
        </row>
        <row r="11">
          <cell r="J11">
            <v>8</v>
          </cell>
          <cell r="U11">
            <v>488852.06744300947</v>
          </cell>
        </row>
        <row r="12">
          <cell r="J12">
            <v>9</v>
          </cell>
          <cell r="U12">
            <v>487043.49954684079</v>
          </cell>
        </row>
        <row r="13">
          <cell r="J13">
            <v>10</v>
          </cell>
          <cell r="U13">
            <v>485041.54786334001</v>
          </cell>
        </row>
        <row r="14">
          <cell r="J14">
            <v>11</v>
          </cell>
          <cell r="U14">
            <v>489139.38185143284</v>
          </cell>
        </row>
        <row r="15">
          <cell r="J15">
            <v>12</v>
          </cell>
          <cell r="U15">
            <v>480498.14341047034</v>
          </cell>
        </row>
        <row r="16">
          <cell r="J16">
            <v>13</v>
          </cell>
          <cell r="U16">
            <v>477975.0216069743</v>
          </cell>
        </row>
        <row r="17">
          <cell r="J17">
            <v>14</v>
          </cell>
          <cell r="U17">
            <v>475295.34911513329</v>
          </cell>
        </row>
        <row r="18">
          <cell r="J18">
            <v>15</v>
          </cell>
          <cell r="U18">
            <v>472466.66242542677</v>
          </cell>
        </row>
        <row r="19">
          <cell r="J19">
            <v>16</v>
          </cell>
          <cell r="U19">
            <v>469495.96344163455</v>
          </cell>
        </row>
        <row r="20">
          <cell r="J20">
            <v>17</v>
          </cell>
          <cell r="U20">
            <v>466389.77182896249</v>
          </cell>
        </row>
        <row r="21">
          <cell r="J21">
            <v>18</v>
          </cell>
          <cell r="U21">
            <v>463154.1709460225</v>
          </cell>
        </row>
        <row r="22">
          <cell r="J22">
            <v>19</v>
          </cell>
          <cell r="U22">
            <v>459794.84829066321</v>
          </cell>
        </row>
        <row r="23">
          <cell r="J23">
            <v>20</v>
          </cell>
          <cell r="U23">
            <v>456317.13123584911</v>
          </cell>
        </row>
        <row r="24">
          <cell r="J24">
            <v>21</v>
          </cell>
          <cell r="U24">
            <v>452726.01870623976</v>
          </cell>
        </row>
        <row r="25">
          <cell r="J25">
            <v>22</v>
          </cell>
          <cell r="U25">
            <v>449026.2093431931</v>
          </cell>
        </row>
        <row r="26">
          <cell r="J26">
            <v>23</v>
          </cell>
          <cell r="U26">
            <v>445222.1266212333</v>
          </cell>
        </row>
        <row r="27">
          <cell r="J27">
            <v>24</v>
          </cell>
          <cell r="U27">
            <v>441317.9413090013</v>
          </cell>
        </row>
        <row r="28">
          <cell r="J28">
            <v>25</v>
          </cell>
          <cell r="U28">
            <v>447298.86565870047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F056-1796-6147-A203-839FA4B9D3D5}">
  <dimension ref="B1:AY57"/>
  <sheetViews>
    <sheetView tabSelected="1" topLeftCell="B1" zoomScale="114" zoomScaleNormal="174" workbookViewId="0">
      <selection activeCell="G9" sqref="G9"/>
    </sheetView>
  </sheetViews>
  <sheetFormatPr baseColWidth="10" defaultRowHeight="16" x14ac:dyDescent="0.2"/>
  <cols>
    <col min="1" max="1" width="2" style="6" customWidth="1"/>
    <col min="2" max="2" width="36" style="7" customWidth="1"/>
    <col min="3" max="3" width="19.33203125" style="6" bestFit="1" customWidth="1"/>
    <col min="4" max="4" width="8.6640625" style="6" customWidth="1"/>
    <col min="5" max="5" width="4.6640625" style="6" customWidth="1"/>
    <col min="6" max="6" width="36" style="7" customWidth="1"/>
    <col min="7" max="7" width="22.33203125" style="6" bestFit="1" customWidth="1"/>
    <col min="8" max="8" width="8.83203125" style="6" customWidth="1"/>
    <col min="9" max="9" width="15.83203125" style="6" customWidth="1"/>
    <col min="10" max="10" width="4.1640625" style="6" customWidth="1"/>
    <col min="11" max="11" width="9.6640625" style="6" bestFit="1" customWidth="1"/>
    <col min="12" max="13" width="8.83203125" style="6" customWidth="1"/>
    <col min="14" max="14" width="9.5" style="6" bestFit="1" customWidth="1"/>
    <col min="15" max="17" width="8.83203125" style="6" customWidth="1"/>
    <col min="18" max="18" width="8.5" style="6" customWidth="1"/>
    <col min="19" max="19" width="8.83203125" style="6" customWidth="1"/>
    <col min="20" max="20" width="9.5" style="6" customWidth="1"/>
    <col min="21" max="21" width="8.83203125" style="6" customWidth="1"/>
    <col min="22" max="22" width="13" style="6" bestFit="1" customWidth="1"/>
    <col min="23" max="23" width="12.83203125" style="5" customWidth="1"/>
    <col min="24" max="35" width="11.83203125" style="5" customWidth="1"/>
    <col min="36" max="36" width="3.83203125" style="6" customWidth="1"/>
    <col min="37" max="37" width="33.5" style="6" bestFit="1" customWidth="1"/>
    <col min="38" max="38" width="20.83203125" style="6" customWidth="1"/>
    <col min="39" max="39" width="26.5" style="6" bestFit="1" customWidth="1"/>
    <col min="40" max="40" width="9.1640625" style="6" bestFit="1" customWidth="1"/>
    <col min="41" max="42" width="10.83203125" style="6"/>
    <col min="43" max="44" width="11" style="6" bestFit="1" customWidth="1"/>
    <col min="45" max="45" width="34.83203125" style="6" bestFit="1" customWidth="1"/>
    <col min="46" max="46" width="11" style="6" bestFit="1" customWidth="1"/>
    <col min="47" max="48" width="10.83203125" style="6"/>
    <col min="49" max="53" width="11.1640625" style="6" customWidth="1"/>
    <col min="54" max="54" width="11.83203125" style="6" customWidth="1"/>
    <col min="55" max="56" width="11.1640625" style="6" customWidth="1"/>
    <col min="57" max="57" width="9.1640625" style="6" bestFit="1" customWidth="1"/>
    <col min="58" max="58" width="12.5" style="6" customWidth="1"/>
    <col min="59" max="59" width="10.83203125" style="6"/>
    <col min="60" max="60" width="13.1640625" style="6" bestFit="1" customWidth="1"/>
    <col min="61" max="61" width="12.6640625" style="6" bestFit="1" customWidth="1"/>
    <col min="62" max="16384" width="10.83203125" style="6"/>
  </cols>
  <sheetData>
    <row r="1" spans="2:51" x14ac:dyDescent="0.2">
      <c r="B1" s="1" t="s">
        <v>0</v>
      </c>
      <c r="C1" s="1"/>
      <c r="D1" s="1"/>
      <c r="E1" s="1"/>
      <c r="F1" s="1"/>
      <c r="G1" s="1"/>
      <c r="H1" s="1"/>
      <c r="I1" s="2"/>
      <c r="J1" s="3"/>
      <c r="K1" s="3"/>
      <c r="L1" s="3"/>
      <c r="M1" s="4">
        <v>3.1250000000000023E-3</v>
      </c>
      <c r="N1" s="3"/>
      <c r="O1" s="3"/>
      <c r="P1" s="3"/>
      <c r="Q1" s="3"/>
      <c r="R1" s="3"/>
      <c r="S1" s="3"/>
      <c r="T1" s="3"/>
      <c r="U1" s="3"/>
      <c r="V1" s="3"/>
      <c r="AJ1" s="2"/>
      <c r="AK1" s="2"/>
      <c r="AW1" s="7"/>
    </row>
    <row r="2" spans="2:51" x14ac:dyDescent="0.2">
      <c r="B2" s="8" t="s">
        <v>1</v>
      </c>
      <c r="C2" s="9" t="s">
        <v>2</v>
      </c>
      <c r="D2" s="10" t="s">
        <v>3</v>
      </c>
      <c r="E2" s="11"/>
      <c r="F2" s="9" t="s">
        <v>1</v>
      </c>
      <c r="G2" s="10" t="s">
        <v>2</v>
      </c>
      <c r="H2" s="12" t="s">
        <v>3</v>
      </c>
      <c r="I2" s="13"/>
      <c r="J2" s="13" t="s">
        <v>4</v>
      </c>
      <c r="K2" s="4"/>
      <c r="L2" s="4"/>
      <c r="N2" s="4"/>
      <c r="O2" s="4"/>
      <c r="P2" s="4"/>
      <c r="Q2" s="4"/>
      <c r="R2" s="4"/>
      <c r="S2" s="4"/>
      <c r="T2" s="4"/>
      <c r="U2" s="4"/>
      <c r="V2" s="4"/>
      <c r="AJ2" s="13"/>
      <c r="AK2" s="13"/>
      <c r="AW2" s="7"/>
    </row>
    <row r="3" spans="2:51" x14ac:dyDescent="0.2">
      <c r="B3" s="14" t="s">
        <v>5</v>
      </c>
      <c r="C3" s="15">
        <f>C4/1000</f>
        <v>70</v>
      </c>
      <c r="D3" s="16" t="s">
        <v>6</v>
      </c>
      <c r="E3" s="16"/>
      <c r="F3" s="16"/>
      <c r="G3" s="16"/>
      <c r="H3" s="17"/>
      <c r="I3" s="16"/>
      <c r="J3" s="18" t="s">
        <v>7</v>
      </c>
      <c r="K3" s="18" t="s">
        <v>8</v>
      </c>
      <c r="L3" s="18" t="s">
        <v>9</v>
      </c>
      <c r="M3" s="19" t="s">
        <v>10</v>
      </c>
      <c r="N3" s="18" t="s">
        <v>11</v>
      </c>
      <c r="O3" s="18" t="s">
        <v>12</v>
      </c>
      <c r="P3" s="18" t="s">
        <v>13</v>
      </c>
      <c r="Q3" s="18" t="s">
        <v>14</v>
      </c>
      <c r="R3" s="18" t="s">
        <v>15</v>
      </c>
      <c r="S3" s="18" t="s">
        <v>16</v>
      </c>
      <c r="T3" s="18" t="s">
        <v>17</v>
      </c>
      <c r="U3" s="18" t="s">
        <v>18</v>
      </c>
      <c r="V3" s="4"/>
      <c r="W3" s="5" t="s">
        <v>19</v>
      </c>
      <c r="AW3" s="7"/>
    </row>
    <row r="4" spans="2:51" x14ac:dyDescent="0.2">
      <c r="B4" s="14" t="s">
        <v>5</v>
      </c>
      <c r="C4" s="20">
        <v>70000</v>
      </c>
      <c r="D4" s="6" t="s">
        <v>20</v>
      </c>
      <c r="F4" s="7" t="s">
        <v>21</v>
      </c>
      <c r="G4" s="21">
        <f>1125 + 170</f>
        <v>1295</v>
      </c>
      <c r="H4" s="22" t="s">
        <v>22</v>
      </c>
      <c r="J4" s="18">
        <v>1</v>
      </c>
      <c r="K4" s="23">
        <f>(diameter_mm-wall_thickness_mm*2)/1000</f>
        <v>0.69213999999999998</v>
      </c>
      <c r="L4" s="24">
        <f t="shared" ref="L4:L28" si="0">Flow_rate_m3_s/(PI()*(K4/2)^2)</f>
        <v>1.8604596757802323</v>
      </c>
      <c r="M4" s="25">
        <v>5.0000000000000001E-3</v>
      </c>
      <c r="N4" s="26">
        <f t="shared" ref="N4:N28" si="1">1/SQRT(P4)+2*LOG10(((M4/1000)/(3.7*K4))+(2.51/(K4*L4/v_kinematic_viscosity*SQRT(P4))))</f>
        <v>0.10942856021851455</v>
      </c>
      <c r="O4" s="27">
        <f t="shared" ref="O4:O28" si="2">K4*L4/v_kinematic_viscosity</f>
        <v>1020253.4744572045</v>
      </c>
      <c r="P4" s="28">
        <v>1.1517730529083585E-2</v>
      </c>
      <c r="Q4" s="18">
        <f t="shared" ref="Q4:Q28" si="3">0.25/(LOG10((M4/1000/(3.7*K4))+(5.74/((K4*L4/v_kinematic_viscosity)^0.9)))^2)</f>
        <v>1.1749789279898051E-2</v>
      </c>
      <c r="R4" s="29">
        <f t="shared" ref="R4:R28" si="4">P4*pipeline_length_m/(K4)*L4^2/(2*grav_accel)</f>
        <v>205.50033049691908</v>
      </c>
      <c r="S4" s="30">
        <f t="shared" ref="S4:S28" si="5">water_density*grav_accel*Flow_rate_m3_s*(R4+Elevation_change_m)/pump_efficiency/1000</f>
        <v>10398.190112936605</v>
      </c>
      <c r="T4" s="31">
        <f t="shared" ref="T4:T28" si="6">S4*annual_operation_h*Energy_cost</f>
        <v>9356574.2943914291</v>
      </c>
      <c r="U4" s="32">
        <f t="shared" ref="U4:U28" si="7">T32-T4</f>
        <v>494651.17964555137</v>
      </c>
      <c r="V4" s="33">
        <f>Q4-P4</f>
        <v>2.3205875081446642E-4</v>
      </c>
      <c r="W4" s="5">
        <f>K4*1000</f>
        <v>692.14</v>
      </c>
    </row>
    <row r="5" spans="2:51" x14ac:dyDescent="0.2">
      <c r="B5" s="14" t="s">
        <v>23</v>
      </c>
      <c r="C5" s="34">
        <v>700</v>
      </c>
      <c r="D5" s="6" t="s">
        <v>24</v>
      </c>
      <c r="F5" s="7" t="s">
        <v>25</v>
      </c>
      <c r="G5" s="35">
        <v>0.107</v>
      </c>
      <c r="H5" s="22" t="s">
        <v>26</v>
      </c>
      <c r="J5" s="18">
        <v>2</v>
      </c>
      <c r="K5" s="23">
        <f>K4</f>
        <v>0.69213999999999998</v>
      </c>
      <c r="L5" s="24">
        <f t="shared" si="0"/>
        <v>1.8604596757802323</v>
      </c>
      <c r="M5" s="25">
        <f t="shared" ref="M5:M28" si="8">M4+$M$1</f>
        <v>8.125000000000002E-3</v>
      </c>
      <c r="N5" s="26">
        <f t="shared" si="1"/>
        <v>0.106182154921445</v>
      </c>
      <c r="O5" s="27">
        <f t="shared" si="2"/>
        <v>1020253.4744572045</v>
      </c>
      <c r="P5" s="18">
        <v>1.162087012452318E-2</v>
      </c>
      <c r="Q5" s="18">
        <f t="shared" si="3"/>
        <v>1.1858532171526852E-2</v>
      </c>
      <c r="R5" s="29">
        <f t="shared" si="4"/>
        <v>207.34055595597414</v>
      </c>
      <c r="S5" s="30">
        <f t="shared" si="5"/>
        <v>10414.063202051422</v>
      </c>
      <c r="T5" s="31">
        <f t="shared" si="6"/>
        <v>9370857.3317249659</v>
      </c>
      <c r="U5" s="32">
        <f t="shared" si="7"/>
        <v>496244.57981803268</v>
      </c>
      <c r="V5" s="33">
        <f t="shared" ref="V5:V27" si="9">Q5-P5</f>
        <v>2.3766204700367138E-4</v>
      </c>
      <c r="W5" s="5">
        <f t="shared" ref="W5:W28" si="10">K5*1000</f>
        <v>692.14</v>
      </c>
      <c r="AW5" s="7"/>
    </row>
    <row r="6" spans="2:51" x14ac:dyDescent="0.2">
      <c r="B6" s="14" t="s">
        <v>23</v>
      </c>
      <c r="C6" s="6">
        <f>Flow_L_s/1000</f>
        <v>0.7</v>
      </c>
      <c r="D6" s="6" t="s">
        <v>27</v>
      </c>
      <c r="G6" s="36"/>
      <c r="H6" s="22"/>
      <c r="J6" s="18">
        <v>3</v>
      </c>
      <c r="K6" s="23">
        <f t="shared" ref="K6:K28" si="11">K5</f>
        <v>0.69213999999999998</v>
      </c>
      <c r="L6" s="24">
        <f t="shared" si="0"/>
        <v>1.8604596757802323</v>
      </c>
      <c r="M6" s="25">
        <f t="shared" si="8"/>
        <v>1.1250000000000005E-2</v>
      </c>
      <c r="N6" s="26">
        <f t="shared" si="1"/>
        <v>9.7600145493958124E-2</v>
      </c>
      <c r="O6" s="27">
        <f t="shared" si="2"/>
        <v>1020253.4744572045</v>
      </c>
      <c r="P6" s="18">
        <v>1.1734177697697528E-2</v>
      </c>
      <c r="Q6" s="18">
        <f t="shared" si="3"/>
        <v>1.1963625377794636E-2</v>
      </c>
      <c r="R6" s="29">
        <f t="shared" si="4"/>
        <v>209.36219934104341</v>
      </c>
      <c r="S6" s="30">
        <f t="shared" si="5"/>
        <v>10431.501133611213</v>
      </c>
      <c r="T6" s="31">
        <f t="shared" si="6"/>
        <v>9386548.4568542037</v>
      </c>
      <c r="U6" s="32">
        <f t="shared" si="7"/>
        <v>495597.79324686527</v>
      </c>
      <c r="V6" s="33">
        <f t="shared" si="9"/>
        <v>2.2944768009710778E-4</v>
      </c>
      <c r="W6" s="5">
        <f t="shared" si="10"/>
        <v>692.14</v>
      </c>
      <c r="AW6" s="7"/>
      <c r="AX6" s="37"/>
    </row>
    <row r="7" spans="2:51" x14ac:dyDescent="0.2">
      <c r="B7" s="14" t="s">
        <v>23</v>
      </c>
      <c r="C7" s="38">
        <f>Flow_L_s*3.6</f>
        <v>2520</v>
      </c>
      <c r="D7" s="6" t="s">
        <v>28</v>
      </c>
      <c r="H7" s="22"/>
      <c r="J7" s="18">
        <v>4</v>
      </c>
      <c r="K7" s="23">
        <f t="shared" si="11"/>
        <v>0.69213999999999998</v>
      </c>
      <c r="L7" s="24">
        <f t="shared" si="0"/>
        <v>1.8604596757802323</v>
      </c>
      <c r="M7" s="25">
        <f t="shared" si="8"/>
        <v>1.4375000000000008E-2</v>
      </c>
      <c r="N7" s="26">
        <f t="shared" si="1"/>
        <v>8.9934787588328291E-2</v>
      </c>
      <c r="O7" s="27">
        <f t="shared" si="2"/>
        <v>1020253.4744572045</v>
      </c>
      <c r="P7" s="18">
        <v>1.1843459306345484E-2</v>
      </c>
      <c r="Q7" s="18">
        <f t="shared" si="3"/>
        <v>1.2065355144776753E-2</v>
      </c>
      <c r="R7" s="29">
        <f t="shared" si="4"/>
        <v>211.31201112364087</v>
      </c>
      <c r="S7" s="30">
        <f t="shared" si="5"/>
        <v>10448.319472923931</v>
      </c>
      <c r="T7" s="31">
        <f t="shared" si="6"/>
        <v>9401682.0560266171</v>
      </c>
      <c r="U7" s="32">
        <f t="shared" si="7"/>
        <v>494712.44036188163</v>
      </c>
      <c r="V7" s="33">
        <f t="shared" si="9"/>
        <v>2.2189583843126859E-4</v>
      </c>
      <c r="W7" s="5">
        <f t="shared" si="10"/>
        <v>692.14</v>
      </c>
      <c r="AW7" s="7"/>
    </row>
    <row r="8" spans="2:51" x14ac:dyDescent="0.2">
      <c r="B8" s="14" t="s">
        <v>29</v>
      </c>
      <c r="C8" s="34">
        <v>1000</v>
      </c>
      <c r="D8" s="6" t="s">
        <v>20</v>
      </c>
      <c r="F8" s="7" t="s">
        <v>30</v>
      </c>
      <c r="G8" s="34">
        <v>1030</v>
      </c>
      <c r="H8" s="22" t="s">
        <v>31</v>
      </c>
      <c r="J8" s="18">
        <v>5</v>
      </c>
      <c r="K8" s="23">
        <f t="shared" si="11"/>
        <v>0.69213999999999998</v>
      </c>
      <c r="L8" s="24">
        <f t="shared" si="0"/>
        <v>1.8604596757802323</v>
      </c>
      <c r="M8" s="25">
        <f t="shared" si="8"/>
        <v>1.7500000000000009E-2</v>
      </c>
      <c r="N8" s="26">
        <f t="shared" si="1"/>
        <v>8.3057590039478768E-2</v>
      </c>
      <c r="O8" s="27">
        <f t="shared" si="2"/>
        <v>1020253.4744572045</v>
      </c>
      <c r="P8" s="18">
        <v>1.194904788087334E-2</v>
      </c>
      <c r="Q8" s="18">
        <f t="shared" si="3"/>
        <v>1.2163973850152649E-2</v>
      </c>
      <c r="R8" s="29">
        <f t="shared" si="4"/>
        <v>213.19593147647271</v>
      </c>
      <c r="S8" s="30">
        <f t="shared" si="5"/>
        <v>10464.569457673666</v>
      </c>
      <c r="T8" s="31">
        <f t="shared" si="6"/>
        <v>9416304.2343040127</v>
      </c>
      <c r="U8" s="32">
        <f t="shared" si="7"/>
        <v>493293.12386808172</v>
      </c>
      <c r="V8" s="33">
        <f t="shared" si="9"/>
        <v>2.1492596927930908E-4</v>
      </c>
      <c r="W8" s="5">
        <f t="shared" si="10"/>
        <v>692.14</v>
      </c>
      <c r="AW8" s="7"/>
    </row>
    <row r="9" spans="2:51" x14ac:dyDescent="0.2">
      <c r="B9" s="14" t="s">
        <v>32</v>
      </c>
      <c r="C9" s="34">
        <v>28</v>
      </c>
      <c r="D9" s="6" t="s">
        <v>33</v>
      </c>
      <c r="F9" s="7" t="s">
        <v>34</v>
      </c>
      <c r="G9" s="34">
        <v>1.3</v>
      </c>
      <c r="H9" s="22" t="s">
        <v>35</v>
      </c>
      <c r="J9" s="18">
        <v>6</v>
      </c>
      <c r="K9" s="23">
        <f t="shared" si="11"/>
        <v>0.69213999999999998</v>
      </c>
      <c r="L9" s="24">
        <f t="shared" si="0"/>
        <v>1.8604596757802323</v>
      </c>
      <c r="M9" s="25">
        <f t="shared" si="8"/>
        <v>2.0625000000000011E-2</v>
      </c>
      <c r="N9" s="26">
        <f t="shared" si="1"/>
        <v>7.6862190073141434E-2</v>
      </c>
      <c r="O9" s="27">
        <f t="shared" si="2"/>
        <v>1020253.4744572045</v>
      </c>
      <c r="P9" s="18">
        <v>1.2051234922303641E-2</v>
      </c>
      <c r="Q9" s="18">
        <f t="shared" si="3"/>
        <v>1.2259705244914704E-2</v>
      </c>
      <c r="R9" s="29">
        <f t="shared" si="4"/>
        <v>215.0191613856465</v>
      </c>
      <c r="S9" s="30">
        <f t="shared" si="5"/>
        <v>10480.295949600355</v>
      </c>
      <c r="T9" s="31">
        <f t="shared" si="6"/>
        <v>9430455.3595002294</v>
      </c>
      <c r="U9" s="32">
        <f t="shared" si="7"/>
        <v>492136.09891260788</v>
      </c>
      <c r="V9" s="33">
        <f t="shared" si="9"/>
        <v>2.0847032261106339E-4</v>
      </c>
      <c r="W9" s="5">
        <f t="shared" si="10"/>
        <v>692.14</v>
      </c>
    </row>
    <row r="10" spans="2:51" x14ac:dyDescent="0.2">
      <c r="B10" s="14" t="s">
        <v>32</v>
      </c>
      <c r="C10" s="6">
        <f>C9*25.4</f>
        <v>711.19999999999993</v>
      </c>
      <c r="D10" s="6" t="s">
        <v>36</v>
      </c>
      <c r="F10" s="7" t="s">
        <v>37</v>
      </c>
      <c r="G10" s="39">
        <f>dynamic_viscosity_of_water_cP/1000/water_density</f>
        <v>1.262135922330097E-6</v>
      </c>
      <c r="H10" s="22" t="s">
        <v>38</v>
      </c>
      <c r="J10" s="18">
        <v>7</v>
      </c>
      <c r="K10" s="23">
        <f t="shared" si="11"/>
        <v>0.69213999999999998</v>
      </c>
      <c r="L10" s="24">
        <f t="shared" si="0"/>
        <v>1.8604596757802323</v>
      </c>
      <c r="M10" s="25">
        <f t="shared" si="8"/>
        <v>2.3750000000000014E-2</v>
      </c>
      <c r="N10" s="26">
        <f t="shared" si="1"/>
        <v>7.1259876753837048E-2</v>
      </c>
      <c r="O10" s="27">
        <f t="shared" si="2"/>
        <v>1020253.4744572045</v>
      </c>
      <c r="P10" s="18">
        <v>1.2150277230989284E-2</v>
      </c>
      <c r="Q10" s="18">
        <f t="shared" si="3"/>
        <v>1.2352748708186532E-2</v>
      </c>
      <c r="R10" s="29">
        <f t="shared" si="4"/>
        <v>216.78628270496225</v>
      </c>
      <c r="S10" s="30">
        <f t="shared" si="5"/>
        <v>10495.538470042715</v>
      </c>
      <c r="T10" s="31">
        <f t="shared" si="6"/>
        <v>9444170.9939908218</v>
      </c>
      <c r="U10" s="32">
        <f t="shared" si="7"/>
        <v>490455.93909368478</v>
      </c>
      <c r="V10" s="33">
        <f t="shared" si="9"/>
        <v>2.0247147719724794E-4</v>
      </c>
      <c r="W10" s="5">
        <f t="shared" si="10"/>
        <v>692.14</v>
      </c>
    </row>
    <row r="11" spans="2:51" x14ac:dyDescent="0.2">
      <c r="B11" s="14" t="s">
        <v>32</v>
      </c>
      <c r="C11" s="6">
        <f>diameter_mm/1000</f>
        <v>0.71119999999999994</v>
      </c>
      <c r="D11" s="6" t="s">
        <v>20</v>
      </c>
      <c r="F11" s="7" t="s">
        <v>37</v>
      </c>
      <c r="G11" s="6">
        <f>v_kinematic_viscosity*1000000</f>
        <v>1.262135922330097</v>
      </c>
      <c r="H11" s="6" t="s">
        <v>39</v>
      </c>
      <c r="J11" s="18">
        <v>8</v>
      </c>
      <c r="K11" s="23">
        <f t="shared" si="11"/>
        <v>0.69213999999999998</v>
      </c>
      <c r="L11" s="24">
        <f t="shared" si="0"/>
        <v>1.8604596757802323</v>
      </c>
      <c r="M11" s="25">
        <f t="shared" si="8"/>
        <v>2.6875000000000017E-2</v>
      </c>
      <c r="N11" s="26">
        <f t="shared" si="1"/>
        <v>6.6176146076166731E-2</v>
      </c>
      <c r="O11" s="27">
        <f t="shared" si="2"/>
        <v>1020253.4744572045</v>
      </c>
      <c r="P11" s="18">
        <v>1.2246402308505518E-2</v>
      </c>
      <c r="Q11" s="18">
        <f t="shared" si="3"/>
        <v>1.2443282731489534E-2</v>
      </c>
      <c r="R11" s="29">
        <f t="shared" si="4"/>
        <v>218.50135453693014</v>
      </c>
      <c r="S11" s="30">
        <f t="shared" si="5"/>
        <v>10510.332031284455</v>
      </c>
      <c r="T11" s="31">
        <f t="shared" si="6"/>
        <v>9457482.6427810043</v>
      </c>
      <c r="U11" s="32">
        <f t="shared" si="7"/>
        <v>488852.06744300947</v>
      </c>
      <c r="V11" s="33">
        <f t="shared" si="9"/>
        <v>1.9688042298401584E-4</v>
      </c>
      <c r="W11" s="5">
        <f t="shared" si="10"/>
        <v>692.14</v>
      </c>
    </row>
    <row r="12" spans="2:51" x14ac:dyDescent="0.2">
      <c r="B12" s="14" t="s">
        <v>40</v>
      </c>
      <c r="C12" s="34">
        <v>25</v>
      </c>
      <c r="D12" s="6" t="s">
        <v>41</v>
      </c>
      <c r="F12" s="7" t="s">
        <v>42</v>
      </c>
      <c r="G12" s="40">
        <f>8760*0.96</f>
        <v>8409.6</v>
      </c>
      <c r="H12" s="22" t="s">
        <v>43</v>
      </c>
      <c r="J12" s="18">
        <v>9</v>
      </c>
      <c r="K12" s="23">
        <f t="shared" si="11"/>
        <v>0.69213999999999998</v>
      </c>
      <c r="L12" s="24">
        <f t="shared" si="0"/>
        <v>1.8604596757802323</v>
      </c>
      <c r="M12" s="25">
        <f t="shared" si="8"/>
        <v>3.000000000000002E-2</v>
      </c>
      <c r="N12" s="26">
        <f t="shared" si="1"/>
        <v>6.1548022737277108E-2</v>
      </c>
      <c r="O12" s="27">
        <f t="shared" si="2"/>
        <v>1020253.4744572045</v>
      </c>
      <c r="P12" s="18">
        <v>1.2339812736791203E-2</v>
      </c>
      <c r="Q12" s="18">
        <f t="shared" si="3"/>
        <v>1.2531467795172526E-2</v>
      </c>
      <c r="R12" s="29">
        <f t="shared" si="4"/>
        <v>220.16799136578243</v>
      </c>
      <c r="S12" s="30">
        <f t="shared" si="5"/>
        <v>10524.707810500115</v>
      </c>
      <c r="T12" s="31">
        <f t="shared" si="6"/>
        <v>9470418.3599404488</v>
      </c>
      <c r="U12" s="32">
        <f t="shared" si="7"/>
        <v>487043.49954684079</v>
      </c>
      <c r="V12" s="33">
        <f t="shared" si="9"/>
        <v>1.9165505838132299E-4</v>
      </c>
      <c r="W12" s="5">
        <f t="shared" si="10"/>
        <v>692.14</v>
      </c>
    </row>
    <row r="13" spans="2:51" x14ac:dyDescent="0.2">
      <c r="B13" s="14" t="s">
        <v>44</v>
      </c>
      <c r="C13" s="34">
        <v>1.1499999999999999</v>
      </c>
      <c r="F13" s="7" t="s">
        <v>45</v>
      </c>
      <c r="G13" s="34">
        <v>7850</v>
      </c>
      <c r="H13" s="22" t="s">
        <v>31</v>
      </c>
      <c r="J13" s="18">
        <v>10</v>
      </c>
      <c r="K13" s="23">
        <f t="shared" si="11"/>
        <v>0.69213999999999998</v>
      </c>
      <c r="L13" s="24">
        <f t="shared" si="0"/>
        <v>1.8604596757802323</v>
      </c>
      <c r="M13" s="25">
        <f t="shared" si="8"/>
        <v>3.3125000000000022E-2</v>
      </c>
      <c r="N13" s="26">
        <f t="shared" si="1"/>
        <v>5.7321958242244619E-2</v>
      </c>
      <c r="O13" s="27">
        <f t="shared" si="2"/>
        <v>1020253.4744572045</v>
      </c>
      <c r="P13" s="18">
        <v>1.2430689759947435E-2</v>
      </c>
      <c r="Q13" s="18">
        <f t="shared" si="3"/>
        <v>1.261744876081493E-2</v>
      </c>
      <c r="R13" s="29">
        <f t="shared" si="4"/>
        <v>221.78942696422993</v>
      </c>
      <c r="S13" s="30">
        <f t="shared" si="5"/>
        <v>10538.693700990572</v>
      </c>
      <c r="T13" s="31">
        <f t="shared" si="6"/>
        <v>9483003.2446199842</v>
      </c>
      <c r="U13" s="32">
        <f t="shared" si="7"/>
        <v>485041.54786334001</v>
      </c>
      <c r="V13" s="33">
        <f t="shared" si="9"/>
        <v>1.867590008674952E-4</v>
      </c>
      <c r="W13" s="5">
        <f t="shared" si="10"/>
        <v>692.14</v>
      </c>
    </row>
    <row r="14" spans="2:51" x14ac:dyDescent="0.2">
      <c r="B14" s="14" t="s">
        <v>46</v>
      </c>
      <c r="C14" s="41">
        <v>0</v>
      </c>
      <c r="F14" s="7" t="s">
        <v>47</v>
      </c>
      <c r="G14" s="34">
        <v>9.81</v>
      </c>
      <c r="H14" s="22" t="s">
        <v>48</v>
      </c>
      <c r="J14" s="18">
        <v>11</v>
      </c>
      <c r="K14" s="23">
        <f t="shared" si="11"/>
        <v>0.69213999999999998</v>
      </c>
      <c r="L14" s="24">
        <f t="shared" si="0"/>
        <v>1.8604596757802323</v>
      </c>
      <c r="M14" s="25">
        <f t="shared" si="8"/>
        <v>3.6250000000000025E-2</v>
      </c>
      <c r="N14" s="26">
        <f t="shared" si="1"/>
        <v>7.0650203146131574E-2</v>
      </c>
      <c r="O14" s="27">
        <f t="shared" si="2"/>
        <v>1020253.4744572045</v>
      </c>
      <c r="P14" s="18">
        <v>1.2473827367270911E-2</v>
      </c>
      <c r="Q14" s="18">
        <f t="shared" si="3"/>
        <v>1.2701356874823787E-2</v>
      </c>
      <c r="R14" s="29">
        <f t="shared" si="4"/>
        <v>222.55909183348834</v>
      </c>
      <c r="S14" s="30">
        <f t="shared" si="5"/>
        <v>10545.332539181929</v>
      </c>
      <c r="T14" s="31">
        <f t="shared" si="6"/>
        <v>9488977.0518009663</v>
      </c>
      <c r="U14" s="32">
        <f t="shared" si="7"/>
        <v>489139.38185143284</v>
      </c>
      <c r="V14" s="33">
        <f t="shared" si="9"/>
        <v>2.2752950755287535E-4</v>
      </c>
      <c r="W14" s="5">
        <f t="shared" si="10"/>
        <v>692.14</v>
      </c>
      <c r="AK14" s="3"/>
    </row>
    <row r="15" spans="2:51" x14ac:dyDescent="0.2">
      <c r="B15" s="14" t="s">
        <v>49</v>
      </c>
      <c r="C15" s="34">
        <v>12</v>
      </c>
      <c r="D15" s="6" t="s">
        <v>20</v>
      </c>
      <c r="G15" s="41"/>
      <c r="H15" s="22"/>
      <c r="J15" s="18">
        <v>12</v>
      </c>
      <c r="K15" s="23">
        <f t="shared" si="11"/>
        <v>0.69213999999999998</v>
      </c>
      <c r="L15" s="24">
        <f t="shared" si="0"/>
        <v>1.8604596757802323</v>
      </c>
      <c r="M15" s="25">
        <f t="shared" si="8"/>
        <v>3.9375000000000028E-2</v>
      </c>
      <c r="N15" s="26">
        <f t="shared" si="1"/>
        <v>4.9899297479656823E-2</v>
      </c>
      <c r="O15" s="27">
        <f t="shared" si="2"/>
        <v>1020253.4744572045</v>
      </c>
      <c r="P15" s="18">
        <v>1.2605479100782146E-2</v>
      </c>
      <c r="Q15" s="18">
        <f t="shared" si="3"/>
        <v>1.2783311457183351E-2</v>
      </c>
      <c r="R15" s="29">
        <f t="shared" si="4"/>
        <v>224.90803329194108</v>
      </c>
      <c r="S15" s="30">
        <f t="shared" si="5"/>
        <v>10565.593620188089</v>
      </c>
      <c r="T15" s="31">
        <f t="shared" si="6"/>
        <v>9507208.5235917121</v>
      </c>
      <c r="U15" s="32">
        <f t="shared" si="7"/>
        <v>480498.14341047034</v>
      </c>
      <c r="V15" s="33">
        <f t="shared" si="9"/>
        <v>1.7783235640120472E-4</v>
      </c>
      <c r="W15" s="5">
        <f t="shared" si="10"/>
        <v>692.14</v>
      </c>
      <c r="AY15" s="42">
        <f>Flow_rate_m3_s</f>
        <v>0.7</v>
      </c>
    </row>
    <row r="16" spans="2:51" x14ac:dyDescent="0.2">
      <c r="B16" s="14" t="s">
        <v>50</v>
      </c>
      <c r="C16" s="34">
        <v>0.3</v>
      </c>
      <c r="D16" s="6" t="s">
        <v>36</v>
      </c>
      <c r="F16" s="7" t="s">
        <v>51</v>
      </c>
      <c r="G16" s="41">
        <v>0.82</v>
      </c>
      <c r="H16" s="22"/>
      <c r="J16" s="18">
        <v>13</v>
      </c>
      <c r="K16" s="23">
        <f t="shared" si="11"/>
        <v>0.69213999999999998</v>
      </c>
      <c r="L16" s="24">
        <f t="shared" si="0"/>
        <v>1.8604596757802323</v>
      </c>
      <c r="M16" s="25">
        <f t="shared" si="8"/>
        <v>4.2500000000000031E-2</v>
      </c>
      <c r="N16" s="26">
        <f t="shared" si="1"/>
        <v>4.6629365566831282E-2</v>
      </c>
      <c r="O16" s="27">
        <f t="shared" si="2"/>
        <v>1020253.4744572045</v>
      </c>
      <c r="P16" s="18">
        <v>1.2689671401944139E-2</v>
      </c>
      <c r="Q16" s="18">
        <f t="shared" si="3"/>
        <v>1.2863421333330695E-2</v>
      </c>
      <c r="R16" s="29">
        <f t="shared" si="4"/>
        <v>226.4101995103986</v>
      </c>
      <c r="S16" s="30">
        <f t="shared" si="5"/>
        <v>10578.550738096397</v>
      </c>
      <c r="T16" s="31">
        <f t="shared" si="6"/>
        <v>9518867.6907192152</v>
      </c>
      <c r="U16" s="32">
        <f t="shared" si="7"/>
        <v>477975.0216069743</v>
      </c>
      <c r="V16" s="33">
        <f t="shared" si="9"/>
        <v>1.7374993138655551E-4</v>
      </c>
      <c r="W16" s="5">
        <f t="shared" si="10"/>
        <v>692.14</v>
      </c>
    </row>
    <row r="17" spans="2:47" x14ac:dyDescent="0.2">
      <c r="B17" s="14" t="s">
        <v>52</v>
      </c>
      <c r="C17" s="21">
        <v>1150</v>
      </c>
      <c r="D17" s="6" t="s">
        <v>53</v>
      </c>
      <c r="F17" s="7" t="s">
        <v>54</v>
      </c>
      <c r="G17" s="41">
        <v>0.1</v>
      </c>
      <c r="H17" s="22"/>
      <c r="J17" s="18">
        <v>14</v>
      </c>
      <c r="K17" s="23">
        <f t="shared" si="11"/>
        <v>0.69213999999999998</v>
      </c>
      <c r="L17" s="24">
        <f t="shared" si="0"/>
        <v>1.8604596757802323</v>
      </c>
      <c r="M17" s="25">
        <f t="shared" si="8"/>
        <v>4.5625000000000034E-2</v>
      </c>
      <c r="N17" s="26">
        <f t="shared" si="1"/>
        <v>4.3612888136587813E-2</v>
      </c>
      <c r="O17" s="27">
        <f t="shared" si="2"/>
        <v>1020253.4744572045</v>
      </c>
      <c r="P17" s="18">
        <v>1.2771894047575907E-2</v>
      </c>
      <c r="Q17" s="18">
        <f t="shared" si="3"/>
        <v>1.2941786054988769E-2</v>
      </c>
      <c r="R17" s="29">
        <f t="shared" si="4"/>
        <v>227.87722296688534</v>
      </c>
      <c r="S17" s="30">
        <f t="shared" si="5"/>
        <v>10591.204727825621</v>
      </c>
      <c r="T17" s="31">
        <f t="shared" si="6"/>
        <v>9530254.0948660914</v>
      </c>
      <c r="U17" s="32">
        <f t="shared" si="7"/>
        <v>475295.34911513329</v>
      </c>
      <c r="V17" s="33">
        <f t="shared" si="9"/>
        <v>1.698920074128616E-4</v>
      </c>
      <c r="W17" s="5">
        <f t="shared" si="10"/>
        <v>692.14</v>
      </c>
    </row>
    <row r="18" spans="2:47" x14ac:dyDescent="0.2">
      <c r="B18" s="14" t="s">
        <v>55</v>
      </c>
      <c r="G18" s="34"/>
      <c r="H18" s="22"/>
      <c r="J18" s="18">
        <v>15</v>
      </c>
      <c r="K18" s="23">
        <f t="shared" si="11"/>
        <v>0.69213999999999998</v>
      </c>
      <c r="L18" s="24">
        <f t="shared" si="0"/>
        <v>1.8604596757802323</v>
      </c>
      <c r="M18" s="25">
        <f t="shared" si="8"/>
        <v>4.8750000000000036E-2</v>
      </c>
      <c r="N18" s="26">
        <f t="shared" si="1"/>
        <v>4.0824178572014702E-2</v>
      </c>
      <c r="O18" s="27">
        <f t="shared" si="2"/>
        <v>1020253.4744572045</v>
      </c>
      <c r="P18" s="18">
        <v>1.2852257261511024E-2</v>
      </c>
      <c r="Q18" s="18">
        <f t="shared" si="3"/>
        <v>1.3018496946478435E-2</v>
      </c>
      <c r="R18" s="29">
        <f t="shared" si="4"/>
        <v>229.31107028444148</v>
      </c>
      <c r="S18" s="30">
        <f t="shared" si="5"/>
        <v>10603.572552722631</v>
      </c>
      <c r="T18" s="31">
        <f t="shared" si="6"/>
        <v>9541383.0001132581</v>
      </c>
      <c r="U18" s="32">
        <f t="shared" si="7"/>
        <v>472466.66242542677</v>
      </c>
      <c r="V18" s="33">
        <f t="shared" si="9"/>
        <v>1.6623968496741123E-4</v>
      </c>
      <c r="W18" s="5">
        <f t="shared" si="10"/>
        <v>692.14</v>
      </c>
    </row>
    <row r="19" spans="2:47" x14ac:dyDescent="0.2">
      <c r="B19" s="14" t="s">
        <v>56</v>
      </c>
      <c r="C19" s="34">
        <v>0.2</v>
      </c>
      <c r="D19" s="6" t="s">
        <v>57</v>
      </c>
      <c r="G19" s="21"/>
      <c r="H19" s="22"/>
      <c r="J19" s="18">
        <v>16</v>
      </c>
      <c r="K19" s="23">
        <f t="shared" si="11"/>
        <v>0.69213999999999998</v>
      </c>
      <c r="L19" s="24">
        <f t="shared" si="0"/>
        <v>1.8604596757802323</v>
      </c>
      <c r="M19" s="25">
        <f t="shared" si="8"/>
        <v>5.1875000000000039E-2</v>
      </c>
      <c r="N19" s="26">
        <f t="shared" si="1"/>
        <v>3.8240768142051351E-2</v>
      </c>
      <c r="O19" s="27">
        <f t="shared" si="2"/>
        <v>1020253.4744572045</v>
      </c>
      <c r="P19" s="18">
        <v>1.293086183339757E-2</v>
      </c>
      <c r="Q19" s="18">
        <f t="shared" si="3"/>
        <v>1.309363800582857E-2</v>
      </c>
      <c r="R19" s="29">
        <f t="shared" si="4"/>
        <v>230.71353976056486</v>
      </c>
      <c r="S19" s="30">
        <f t="shared" si="5"/>
        <v>10615.669724221796</v>
      </c>
      <c r="T19" s="31">
        <f t="shared" si="6"/>
        <v>9552268.3640712705</v>
      </c>
      <c r="U19" s="32">
        <f t="shared" si="7"/>
        <v>469495.96344163455</v>
      </c>
      <c r="V19" s="33">
        <f t="shared" si="9"/>
        <v>1.6277617243099993E-4</v>
      </c>
      <c r="W19" s="5">
        <f t="shared" si="10"/>
        <v>692.14</v>
      </c>
      <c r="AJ19" s="3"/>
      <c r="AL19" s="43" t="s">
        <v>58</v>
      </c>
      <c r="AM19" s="43"/>
    </row>
    <row r="20" spans="2:47" x14ac:dyDescent="0.2">
      <c r="B20" s="14"/>
      <c r="F20" s="7" t="s">
        <v>59</v>
      </c>
      <c r="G20" s="34">
        <v>9.5299999999999994</v>
      </c>
      <c r="H20" s="22" t="s">
        <v>36</v>
      </c>
      <c r="J20" s="18">
        <v>17</v>
      </c>
      <c r="K20" s="23">
        <f t="shared" si="11"/>
        <v>0.69213999999999998</v>
      </c>
      <c r="L20" s="24">
        <f t="shared" si="0"/>
        <v>1.8604596757802323</v>
      </c>
      <c r="M20" s="25">
        <f t="shared" si="8"/>
        <v>5.5000000000000042E-2</v>
      </c>
      <c r="N20" s="26">
        <f t="shared" si="1"/>
        <v>3.5842928692446208E-2</v>
      </c>
      <c r="O20" s="27">
        <f t="shared" si="2"/>
        <v>1020253.4744572045</v>
      </c>
      <c r="P20" s="18">
        <v>1.3007800187646943E-2</v>
      </c>
      <c r="Q20" s="18">
        <f t="shared" si="3"/>
        <v>1.3167286684385512E-2</v>
      </c>
      <c r="R20" s="29">
        <f t="shared" si="4"/>
        <v>232.08628043948687</v>
      </c>
      <c r="S20" s="30">
        <f t="shared" si="5"/>
        <v>10627.510466355237</v>
      </c>
      <c r="T20" s="31">
        <f t="shared" si="6"/>
        <v>9562922.9859111272</v>
      </c>
      <c r="U20" s="32">
        <f t="shared" si="7"/>
        <v>466389.77182896249</v>
      </c>
      <c r="V20" s="33">
        <f t="shared" si="9"/>
        <v>1.5948649673856903E-4</v>
      </c>
      <c r="W20" s="5">
        <f t="shared" si="10"/>
        <v>692.14</v>
      </c>
      <c r="AK20" s="3"/>
      <c r="AL20" s="44" t="s">
        <v>60</v>
      </c>
      <c r="AM20" s="45" t="s">
        <v>61</v>
      </c>
      <c r="AN20" s="3" t="s">
        <v>62</v>
      </c>
    </row>
    <row r="21" spans="2:47" x14ac:dyDescent="0.2">
      <c r="B21" s="14" t="s">
        <v>63</v>
      </c>
      <c r="C21" s="34">
        <v>0.1</v>
      </c>
      <c r="D21" s="6" t="s">
        <v>36</v>
      </c>
      <c r="F21" s="7" t="s">
        <v>64</v>
      </c>
      <c r="G21" s="34">
        <v>0.02</v>
      </c>
      <c r="H21" s="22" t="s">
        <v>36</v>
      </c>
      <c r="I21" s="46"/>
      <c r="J21" s="18">
        <v>18</v>
      </c>
      <c r="K21" s="23">
        <f t="shared" si="11"/>
        <v>0.69213999999999998</v>
      </c>
      <c r="L21" s="24">
        <f t="shared" si="0"/>
        <v>1.8604596757802323</v>
      </c>
      <c r="M21" s="25">
        <f t="shared" si="8"/>
        <v>5.8125000000000045E-2</v>
      </c>
      <c r="N21" s="26">
        <f t="shared" si="1"/>
        <v>3.3613276645965584E-2</v>
      </c>
      <c r="O21" s="27">
        <f t="shared" si="2"/>
        <v>1020253.4744572045</v>
      </c>
      <c r="P21" s="18">
        <v>1.3083157303426827E-2</v>
      </c>
      <c r="Q21" s="18">
        <f t="shared" si="3"/>
        <v>1.3239514564207083E-2</v>
      </c>
      <c r="R21" s="29">
        <f t="shared" si="4"/>
        <v>233.43080852676562</v>
      </c>
      <c r="S21" s="30">
        <f t="shared" si="5"/>
        <v>10639.107857338902</v>
      </c>
      <c r="T21" s="31">
        <f t="shared" si="6"/>
        <v>9573358.633767264</v>
      </c>
      <c r="U21" s="32">
        <f t="shared" si="7"/>
        <v>463154.1709460225</v>
      </c>
      <c r="V21" s="33">
        <f t="shared" si="9"/>
        <v>1.5635726078025609E-4</v>
      </c>
      <c r="W21" s="5">
        <f t="shared" si="10"/>
        <v>692.14</v>
      </c>
      <c r="AJ21" s="47" t="s">
        <v>17</v>
      </c>
      <c r="AK21" s="48" t="s">
        <v>65</v>
      </c>
      <c r="AL21" s="49" t="e">
        <f>(#REF!-#REF!)/1000000</f>
        <v>#REF!</v>
      </c>
      <c r="AM21" s="50"/>
      <c r="AN21" s="51" t="s">
        <v>66</v>
      </c>
    </row>
    <row r="22" spans="2:47" x14ac:dyDescent="0.2">
      <c r="B22" s="14" t="s">
        <v>67</v>
      </c>
      <c r="C22" s="34">
        <v>0.3</v>
      </c>
      <c r="D22" s="6" t="s">
        <v>36</v>
      </c>
      <c r="F22" s="7" t="s">
        <v>68</v>
      </c>
      <c r="G22" s="34">
        <v>0.02</v>
      </c>
      <c r="H22" s="22" t="s">
        <v>36</v>
      </c>
      <c r="J22" s="18">
        <v>19</v>
      </c>
      <c r="K22" s="23">
        <f t="shared" si="11"/>
        <v>0.69213999999999998</v>
      </c>
      <c r="L22" s="24">
        <f t="shared" si="0"/>
        <v>1.8604596757802323</v>
      </c>
      <c r="M22" s="25">
        <f t="shared" si="8"/>
        <v>6.1250000000000047E-2</v>
      </c>
      <c r="N22" s="26">
        <f t="shared" si="1"/>
        <v>3.1536442754454441E-2</v>
      </c>
      <c r="O22" s="27">
        <f t="shared" si="2"/>
        <v>1020253.4744572045</v>
      </c>
      <c r="P22" s="18">
        <v>1.3157011510109784E-2</v>
      </c>
      <c r="Q22" s="18">
        <f t="shared" si="3"/>
        <v>1.3310387949029471E-2</v>
      </c>
      <c r="R22" s="29">
        <f t="shared" si="4"/>
        <v>234.74852158174741</v>
      </c>
      <c r="S22" s="30">
        <f t="shared" si="5"/>
        <v>10650.473951991358</v>
      </c>
      <c r="T22" s="31">
        <f t="shared" si="6"/>
        <v>9583586.1548933201</v>
      </c>
      <c r="U22" s="32">
        <f t="shared" si="7"/>
        <v>459794.84829066321</v>
      </c>
      <c r="V22" s="33">
        <f t="shared" si="9"/>
        <v>1.5337643891968726E-4</v>
      </c>
      <c r="W22" s="5">
        <f t="shared" si="10"/>
        <v>692.14</v>
      </c>
      <c r="AJ22" s="52"/>
      <c r="AK22" s="53" t="s">
        <v>69</v>
      </c>
      <c r="AL22" s="49" t="e">
        <f>#REF!/1000000</f>
        <v>#REF!</v>
      </c>
      <c r="AM22" s="50"/>
      <c r="AN22" s="51" t="s">
        <v>66</v>
      </c>
    </row>
    <row r="23" spans="2:47" x14ac:dyDescent="0.2">
      <c r="B23" s="14"/>
      <c r="H23" s="22"/>
      <c r="J23" s="18">
        <v>20</v>
      </c>
      <c r="K23" s="23">
        <f t="shared" si="11"/>
        <v>0.69213999999999998</v>
      </c>
      <c r="L23" s="24">
        <f t="shared" si="0"/>
        <v>1.8604596757802323</v>
      </c>
      <c r="M23" s="25">
        <f t="shared" si="8"/>
        <v>6.4375000000000043E-2</v>
      </c>
      <c r="N23" s="26">
        <f t="shared" si="1"/>
        <v>2.9598795333242833E-2</v>
      </c>
      <c r="O23" s="27">
        <f t="shared" si="2"/>
        <v>1020253.4744572045</v>
      </c>
      <c r="P23" s="18">
        <v>1.3229435178022999E-2</v>
      </c>
      <c r="Q23" s="18">
        <f t="shared" si="3"/>
        <v>1.3379968381807496E-2</v>
      </c>
      <c r="R23" s="29">
        <f t="shared" si="4"/>
        <v>236.04071084198256</v>
      </c>
      <c r="S23" s="30">
        <f t="shared" si="5"/>
        <v>10661.619888039575</v>
      </c>
      <c r="T23" s="31">
        <f t="shared" si="6"/>
        <v>9593615.5713189654</v>
      </c>
      <c r="U23" s="32">
        <f t="shared" si="7"/>
        <v>456317.13123584911</v>
      </c>
      <c r="V23" s="33">
        <f t="shared" si="9"/>
        <v>1.5053320378449753E-4</v>
      </c>
      <c r="W23" s="5">
        <f t="shared" si="10"/>
        <v>692.14</v>
      </c>
      <c r="AJ23" s="54"/>
      <c r="AK23" s="53" t="s">
        <v>70</v>
      </c>
      <c r="AL23" s="49" t="e">
        <f>AL22+AL21</f>
        <v>#REF!</v>
      </c>
      <c r="AM23" s="50"/>
      <c r="AN23" s="51" t="s">
        <v>66</v>
      </c>
    </row>
    <row r="24" spans="2:47" x14ac:dyDescent="0.2">
      <c r="B24" s="14"/>
      <c r="C24" s="55"/>
      <c r="H24" s="22"/>
      <c r="J24" s="18">
        <v>21</v>
      </c>
      <c r="K24" s="23">
        <f t="shared" si="11"/>
        <v>0.69213999999999998</v>
      </c>
      <c r="L24" s="24">
        <f t="shared" si="0"/>
        <v>1.8604596757802323</v>
      </c>
      <c r="M24" s="25">
        <f t="shared" si="8"/>
        <v>6.7500000000000046E-2</v>
      </c>
      <c r="N24" s="26">
        <f t="shared" si="1"/>
        <v>2.7788207238733875E-2</v>
      </c>
      <c r="O24" s="27">
        <f t="shared" si="2"/>
        <v>1020253.4744572045</v>
      </c>
      <c r="P24" s="18">
        <v>1.3300495320732271E-2</v>
      </c>
      <c r="Q24" s="18">
        <f t="shared" si="3"/>
        <v>1.3448313099591552E-2</v>
      </c>
      <c r="R24" s="29">
        <f t="shared" si="4"/>
        <v>237.30857196922804</v>
      </c>
      <c r="S24" s="30">
        <f t="shared" si="5"/>
        <v>10672.555978809844</v>
      </c>
      <c r="T24" s="31">
        <f t="shared" si="6"/>
        <v>9603456.1632557213</v>
      </c>
      <c r="U24" s="32">
        <f t="shared" si="7"/>
        <v>452726.01870623976</v>
      </c>
      <c r="V24" s="33">
        <f t="shared" si="9"/>
        <v>1.4781777885928063E-4</v>
      </c>
      <c r="W24" s="5">
        <f t="shared" si="10"/>
        <v>692.14</v>
      </c>
      <c r="AK24" s="7"/>
      <c r="AL24" s="56"/>
      <c r="AM24" s="50"/>
    </row>
    <row r="25" spans="2:47" ht="16" customHeight="1" thickBot="1" x14ac:dyDescent="0.25">
      <c r="B25" s="14"/>
      <c r="H25" s="22"/>
      <c r="J25" s="18">
        <v>22</v>
      </c>
      <c r="K25" s="23">
        <f t="shared" si="11"/>
        <v>0.69213999999999998</v>
      </c>
      <c r="L25" s="24">
        <f t="shared" si="0"/>
        <v>1.8604596757802323</v>
      </c>
      <c r="M25" s="25">
        <f t="shared" si="8"/>
        <v>7.0625000000000049E-2</v>
      </c>
      <c r="N25" s="26">
        <f t="shared" si="1"/>
        <v>2.6093858810938286E-2</v>
      </c>
      <c r="O25" s="27">
        <f t="shared" si="2"/>
        <v>1020253.4744572045</v>
      </c>
      <c r="P25" s="18">
        <v>1.3370254122216693E-2</v>
      </c>
      <c r="Q25" s="18">
        <f t="shared" si="3"/>
        <v>1.3515475434698495E-2</v>
      </c>
      <c r="R25" s="29">
        <f t="shared" si="4"/>
        <v>238.55321445534275</v>
      </c>
      <c r="S25" s="30">
        <f t="shared" si="5"/>
        <v>10683.291794359493</v>
      </c>
      <c r="T25" s="31">
        <f t="shared" si="6"/>
        <v>9613116.5421014782</v>
      </c>
      <c r="U25" s="32">
        <f t="shared" si="7"/>
        <v>449026.2093431931</v>
      </c>
      <c r="V25" s="33">
        <f t="shared" si="9"/>
        <v>1.4522131248180178E-4</v>
      </c>
      <c r="W25" s="5">
        <f t="shared" si="10"/>
        <v>692.14</v>
      </c>
      <c r="AJ25" s="57" t="s">
        <v>71</v>
      </c>
      <c r="AK25" s="58" t="s">
        <v>72</v>
      </c>
      <c r="AL25" s="59" t="e">
        <f>PV(discount_rate,Service_life_yr,-AL23)*1000000</f>
        <v>#REF!</v>
      </c>
      <c r="AM25" s="60"/>
      <c r="AN25" s="61" t="s">
        <v>73</v>
      </c>
      <c r="AQ25" s="6">
        <v>400</v>
      </c>
      <c r="AR25" s="6" t="s">
        <v>74</v>
      </c>
    </row>
    <row r="26" spans="2:47" ht="17" thickBot="1" x14ac:dyDescent="0.25">
      <c r="B26" s="14"/>
      <c r="H26" s="22"/>
      <c r="J26" s="18">
        <v>23</v>
      </c>
      <c r="K26" s="23">
        <f t="shared" si="11"/>
        <v>0.69213999999999998</v>
      </c>
      <c r="L26" s="24">
        <f t="shared" si="0"/>
        <v>1.8604596757802323</v>
      </c>
      <c r="M26" s="25">
        <f t="shared" si="8"/>
        <v>7.3750000000000052E-2</v>
      </c>
      <c r="N26" s="26">
        <f t="shared" si="1"/>
        <v>2.4506070533000468E-2</v>
      </c>
      <c r="O26" s="27">
        <f t="shared" si="2"/>
        <v>1020253.4744572045</v>
      </c>
      <c r="P26" s="18">
        <v>1.3438769399983527E-2</v>
      </c>
      <c r="Q26" s="18">
        <f t="shared" si="3"/>
        <v>1.3581505169667083E-2</v>
      </c>
      <c r="R26" s="29">
        <f t="shared" si="4"/>
        <v>239.7756698852227</v>
      </c>
      <c r="S26" s="30">
        <f t="shared" si="5"/>
        <v>10693.836232749853</v>
      </c>
      <c r="T26" s="31">
        <f t="shared" si="6"/>
        <v>9622604.714573849</v>
      </c>
      <c r="U26" s="32">
        <f t="shared" si="7"/>
        <v>445222.1266212333</v>
      </c>
      <c r="V26" s="33">
        <f t="shared" si="9"/>
        <v>1.4273576968355621E-4</v>
      </c>
      <c r="W26" s="5">
        <f t="shared" si="10"/>
        <v>692.14</v>
      </c>
      <c r="AJ26" s="57"/>
      <c r="AK26" s="62" t="s">
        <v>75</v>
      </c>
      <c r="AL26" s="63"/>
      <c r="AM26" s="64">
        <f>C17*pipeline_length_m/12</f>
        <v>6708333.333333333</v>
      </c>
      <c r="AN26" s="61" t="s">
        <v>73</v>
      </c>
      <c r="AP26" s="6" t="s">
        <v>76</v>
      </c>
      <c r="AQ26" s="6">
        <v>28170</v>
      </c>
      <c r="AR26" s="6">
        <f>AQ26/$AQ$25</f>
        <v>70.424999999999997</v>
      </c>
      <c r="AS26" s="65" t="s">
        <v>77</v>
      </c>
      <c r="AT26" s="6">
        <v>70</v>
      </c>
      <c r="AU26" s="6">
        <f>AT26*$AQ$25</f>
        <v>28000</v>
      </c>
    </row>
    <row r="27" spans="2:47" x14ac:dyDescent="0.2">
      <c r="B27" s="14"/>
      <c r="H27" s="22"/>
      <c r="J27" s="18">
        <v>24</v>
      </c>
      <c r="K27" s="23">
        <f t="shared" si="11"/>
        <v>0.69213999999999998</v>
      </c>
      <c r="L27" s="24">
        <f t="shared" si="0"/>
        <v>1.8604596757802323</v>
      </c>
      <c r="M27" s="25">
        <f t="shared" si="8"/>
        <v>7.6875000000000054E-2</v>
      </c>
      <c r="N27" s="26">
        <f t="shared" si="1"/>
        <v>2.3016160361002846E-2</v>
      </c>
      <c r="O27" s="27">
        <f t="shared" si="2"/>
        <v>1020253.4744572045</v>
      </c>
      <c r="P27" s="18">
        <v>1.3506095013312378E-2</v>
      </c>
      <c r="Q27" s="18">
        <f t="shared" si="3"/>
        <v>1.3646448852291175E-2</v>
      </c>
      <c r="R27" s="29">
        <f t="shared" si="4"/>
        <v>240.9768992207286</v>
      </c>
      <c r="S27" s="30">
        <f t="shared" si="5"/>
        <v>10704.197582874644</v>
      </c>
      <c r="T27" s="31">
        <f t="shared" si="6"/>
        <v>9631928.1392448582</v>
      </c>
      <c r="U27" s="32">
        <f t="shared" si="7"/>
        <v>441317.9413090013</v>
      </c>
      <c r="V27" s="33">
        <f t="shared" si="9"/>
        <v>1.403538389787972E-4</v>
      </c>
      <c r="W27" s="5">
        <f t="shared" si="10"/>
        <v>692.14</v>
      </c>
      <c r="AJ27" s="57"/>
      <c r="AK27" s="66" t="s">
        <v>78</v>
      </c>
      <c r="AL27" s="67" t="e">
        <f>#REF!-#REF!</f>
        <v>#REF!</v>
      </c>
      <c r="AM27" s="60"/>
      <c r="AN27" s="61" t="s">
        <v>73</v>
      </c>
      <c r="AP27" s="6" t="s">
        <v>79</v>
      </c>
      <c r="AQ27" s="6">
        <v>3686</v>
      </c>
      <c r="AR27" s="6">
        <f t="shared" ref="AR27:AR28" si="12">AQ27/$AQ$25</f>
        <v>9.2149999999999999</v>
      </c>
      <c r="AS27" s="6" t="s">
        <v>80</v>
      </c>
      <c r="AT27" s="6">
        <v>50</v>
      </c>
      <c r="AU27" s="6">
        <v>21000</v>
      </c>
    </row>
    <row r="28" spans="2:47" ht="17" thickBot="1" x14ac:dyDescent="0.25">
      <c r="B28" s="14"/>
      <c r="H28" s="22"/>
      <c r="J28" s="18">
        <v>25</v>
      </c>
      <c r="K28" s="23">
        <f t="shared" si="11"/>
        <v>0.69213999999999998</v>
      </c>
      <c r="L28" s="24">
        <f t="shared" si="0"/>
        <v>1.8604596757802323</v>
      </c>
      <c r="M28" s="25">
        <f t="shared" si="8"/>
        <v>8.0000000000000057E-2</v>
      </c>
      <c r="N28" s="26">
        <f t="shared" si="1"/>
        <v>4.6207115873631466E-2</v>
      </c>
      <c r="O28" s="27">
        <f t="shared" si="2"/>
        <v>1020253.4744572045</v>
      </c>
      <c r="P28" s="18">
        <v>1.3497871829732395E-2</v>
      </c>
      <c r="Q28" s="18">
        <f t="shared" si="3"/>
        <v>1.3710350076041133E-2</v>
      </c>
      <c r="R28" s="29">
        <f t="shared" si="4"/>
        <v>240.8301804779037</v>
      </c>
      <c r="S28" s="30">
        <f t="shared" si="5"/>
        <v>10702.932042465874</v>
      </c>
      <c r="T28" s="31">
        <f t="shared" si="6"/>
        <v>9630789.3715623487</v>
      </c>
      <c r="U28" s="32">
        <f t="shared" si="7"/>
        <v>447298.86565870047</v>
      </c>
      <c r="V28" s="33">
        <f>Q28-P28</f>
        <v>2.1247824630873761E-4</v>
      </c>
      <c r="W28" s="5">
        <f t="shared" si="10"/>
        <v>692.14</v>
      </c>
      <c r="AJ28" s="57"/>
      <c r="AK28" s="68" t="s">
        <v>81</v>
      </c>
      <c r="AL28" s="69"/>
      <c r="AM28" s="64" t="e">
        <f>without_pipeline_weight_MT</f>
        <v>#NAME?</v>
      </c>
      <c r="AN28" s="61" t="s">
        <v>73</v>
      </c>
      <c r="AP28" s="6" t="s">
        <v>82</v>
      </c>
      <c r="AQ28" s="6">
        <v>7210</v>
      </c>
      <c r="AR28" s="6">
        <f t="shared" si="12"/>
        <v>18.024999999999999</v>
      </c>
      <c r="AS28" s="70" t="s">
        <v>83</v>
      </c>
      <c r="AT28" s="6">
        <v>9</v>
      </c>
      <c r="AU28" s="6">
        <f t="shared" ref="AU28" si="13">AT28*$AQ$25</f>
        <v>3600</v>
      </c>
    </row>
    <row r="29" spans="2:47" x14ac:dyDescent="0.2">
      <c r="B29" s="14"/>
      <c r="H29" s="22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AK29" s="71" t="s">
        <v>84</v>
      </c>
      <c r="AL29" s="72" t="e">
        <f>SUM(AL25:AL28)-SUM(AM25:AM28)</f>
        <v>#REF!</v>
      </c>
      <c r="AM29" s="73"/>
      <c r="AN29" s="61" t="s">
        <v>73</v>
      </c>
      <c r="AS29" s="6" t="s">
        <v>85</v>
      </c>
      <c r="AT29" s="6">
        <v>3</v>
      </c>
      <c r="AU29" s="6">
        <v>1200</v>
      </c>
    </row>
    <row r="30" spans="2:47" x14ac:dyDescent="0.2">
      <c r="B30" s="74"/>
      <c r="C30" s="75"/>
      <c r="D30" s="75"/>
      <c r="E30" s="75"/>
      <c r="F30" s="76"/>
      <c r="G30" s="75"/>
      <c r="H30" s="77"/>
      <c r="J30" s="78" t="s">
        <v>86</v>
      </c>
      <c r="L30" s="4"/>
      <c r="N30" s="4"/>
      <c r="O30" s="4"/>
      <c r="P30" s="4"/>
      <c r="Q30" s="4"/>
      <c r="R30" s="4"/>
      <c r="S30" s="4"/>
      <c r="T30" s="79"/>
      <c r="U30" s="4"/>
      <c r="V30" s="4"/>
      <c r="AQ30" s="80">
        <f>SUM(AQ25:AQ28)</f>
        <v>39466</v>
      </c>
      <c r="AS30" s="6" t="s">
        <v>87</v>
      </c>
      <c r="AT30" s="6">
        <v>5</v>
      </c>
      <c r="AU30" s="6">
        <f>AT30*$AQ$25</f>
        <v>2000</v>
      </c>
    </row>
    <row r="31" spans="2:47" ht="26" thickBot="1" x14ac:dyDescent="0.25">
      <c r="J31" s="81" t="s">
        <v>7</v>
      </c>
      <c r="K31" s="81" t="s">
        <v>88</v>
      </c>
      <c r="L31" s="81" t="s">
        <v>9</v>
      </c>
      <c r="M31" s="81" t="s">
        <v>10</v>
      </c>
      <c r="N31" s="81" t="s">
        <v>11</v>
      </c>
      <c r="O31" s="81" t="s">
        <v>89</v>
      </c>
      <c r="P31" s="81" t="s">
        <v>13</v>
      </c>
      <c r="Q31" s="81" t="s">
        <v>90</v>
      </c>
      <c r="R31" s="81" t="s">
        <v>91</v>
      </c>
      <c r="S31" s="81" t="s">
        <v>92</v>
      </c>
      <c r="T31" s="82" t="s">
        <v>17</v>
      </c>
      <c r="U31" s="83">
        <f>AVERAGE(U38,U44,U56)</f>
        <v>7.7778959029171457E-7</v>
      </c>
      <c r="V31" s="84"/>
      <c r="W31" s="85" t="s">
        <v>19</v>
      </c>
      <c r="AS31" s="70" t="s">
        <v>93</v>
      </c>
      <c r="AT31" s="6">
        <v>18</v>
      </c>
      <c r="AU31" s="6">
        <f>AT31*$AQ$25</f>
        <v>7200</v>
      </c>
    </row>
    <row r="32" spans="2:47" x14ac:dyDescent="0.2">
      <c r="B32" s="7" t="s">
        <v>94</v>
      </c>
      <c r="J32" s="4">
        <v>1</v>
      </c>
      <c r="K32" s="86">
        <f>(diameter_mm-2*(wall_thickness_mm+corrosion_rate_mm_yr*Service_life_yr))/1000</f>
        <v>0.68213999999999997</v>
      </c>
      <c r="L32" s="87">
        <f t="shared" ref="L32:L56" si="14">Flow_rate_m3_s/(PI()*(K32/2)^2)</f>
        <v>1.915407241092425</v>
      </c>
      <c r="M32" s="88">
        <f>roughness_bare_pipe_yr_1</f>
        <v>0.1</v>
      </c>
      <c r="N32" s="89">
        <f t="shared" ref="N32:N56" si="15">1/SQRT(P32)+2*LOG10(((M32/1000)/(3.7*K32))+(2.51/(K32*L32/v_kinematic_viscosity*SQRT(P32))))</f>
        <v>-8.1051280970356743E-5</v>
      </c>
      <c r="O32" s="90">
        <f t="shared" ref="O32:O56" si="16">K32*L32/v_kinematic_viscosity</f>
        <v>1035210.1325399618</v>
      </c>
      <c r="P32" s="91">
        <v>1.4030641841078663E-2</v>
      </c>
      <c r="Q32" s="91">
        <f t="shared" ref="Q32:Q37" si="17">0.25/(LOG10((M32/1000/(3.7*K32))+(5.74/((K32*L32/v_kinematic_viscosity)^0.9)))^2)- U32</f>
        <v>1.4021374802526267E-2</v>
      </c>
      <c r="R32" s="92">
        <f t="shared" ref="R32:R56" si="18">P32*pipeline_length_m/(K32)*L32^2/(2*grav_accel)</f>
        <v>269.23115139157522</v>
      </c>
      <c r="S32" s="93">
        <f t="shared" ref="S32:S56" si="19">water_density*grav_accel*Flow_rate_m3_s*(R32+Elevation_change_m)/pump_efficiency/1000</f>
        <v>10947.908080614789</v>
      </c>
      <c r="T32" s="79">
        <f t="shared" ref="T32:T56" si="20">S32*annual_operation_h*Energy_cost</f>
        <v>9851225.4740369804</v>
      </c>
      <c r="U32" s="94">
        <v>8.8999999999999995E-5</v>
      </c>
      <c r="V32" s="4"/>
      <c r="W32" s="5">
        <f>K32*1000</f>
        <v>682.14</v>
      </c>
      <c r="AT32" s="6">
        <f>SUM(AT26:AT31)</f>
        <v>155</v>
      </c>
      <c r="AU32" s="6">
        <f>AT32*AQ25</f>
        <v>62000</v>
      </c>
    </row>
    <row r="33" spans="2:39" x14ac:dyDescent="0.2">
      <c r="B33" s="7" t="s">
        <v>95</v>
      </c>
      <c r="C33" s="6">
        <f>PI()*(0.7112^2-pipe_id_bare_yr_1^2)/4*Steel_density_kg_m3</f>
        <v>249.63889588122589</v>
      </c>
      <c r="D33" s="6" t="s">
        <v>96</v>
      </c>
      <c r="I33" s="95"/>
      <c r="J33" s="4">
        <v>2</v>
      </c>
      <c r="K33" s="86">
        <f t="shared" ref="K33:K55" si="21">K32+$K$57</f>
        <v>0.68255666666666659</v>
      </c>
      <c r="L33" s="87">
        <f t="shared" si="14"/>
        <v>1.9130694344500119</v>
      </c>
      <c r="M33" s="88">
        <f>M32+$M$57</f>
        <v>0.10833333333333334</v>
      </c>
      <c r="N33" s="89">
        <f t="shared" si="15"/>
        <v>-1.4861596319803994E-5</v>
      </c>
      <c r="O33" s="90">
        <f t="shared" si="16"/>
        <v>1034578.1885911443</v>
      </c>
      <c r="P33" s="91">
        <v>1.4180471010677197E-2</v>
      </c>
      <c r="Q33" s="91">
        <f t="shared" si="17"/>
        <v>1.4173585631398601E-2</v>
      </c>
      <c r="R33" s="92">
        <f t="shared" si="18"/>
        <v>271.27667040937342</v>
      </c>
      <c r="S33" s="93">
        <f t="shared" si="19"/>
        <v>10965.551954356346</v>
      </c>
      <c r="T33" s="79">
        <f t="shared" si="20"/>
        <v>9867101.9115429986</v>
      </c>
      <c r="U33" s="94">
        <v>8.8999999999999995E-5</v>
      </c>
      <c r="V33" s="96"/>
      <c r="W33" s="5">
        <f t="shared" ref="W33:W56" si="22">K33*1000</f>
        <v>682.55666666666662</v>
      </c>
    </row>
    <row r="34" spans="2:39" x14ac:dyDescent="0.2">
      <c r="B34" s="7" t="s">
        <v>97</v>
      </c>
      <c r="C34" s="97">
        <f>C33*pipeline_length_m</f>
        <v>17474722.711685814</v>
      </c>
      <c r="D34" s="6" t="s">
        <v>98</v>
      </c>
      <c r="J34" s="4">
        <v>3</v>
      </c>
      <c r="K34" s="86">
        <f t="shared" si="21"/>
        <v>0.68297333333333321</v>
      </c>
      <c r="L34" s="87">
        <f t="shared" si="14"/>
        <v>1.910735905232013</v>
      </c>
      <c r="M34" s="88">
        <f t="shared" ref="M34:M55" si="23">M33+$M$57</f>
        <v>0.11666666666666667</v>
      </c>
      <c r="N34" s="89">
        <f t="shared" si="15"/>
        <v>-1.0823201623821888E-5</v>
      </c>
      <c r="O34" s="90">
        <f t="shared" si="16"/>
        <v>1033947.0157119012</v>
      </c>
      <c r="P34" s="91">
        <v>1.4325437397734772E-2</v>
      </c>
      <c r="Q34" s="91">
        <f t="shared" si="17"/>
        <v>1.4320410577119552E-2</v>
      </c>
      <c r="R34" s="92">
        <f t="shared" si="18"/>
        <v>273.21498186111216</v>
      </c>
      <c r="S34" s="93">
        <f t="shared" si="19"/>
        <v>10982.271096162762</v>
      </c>
      <c r="T34" s="79">
        <f t="shared" si="20"/>
        <v>9882146.250101069</v>
      </c>
      <c r="U34" s="94">
        <v>8.8999999999999995E-5</v>
      </c>
      <c r="V34" s="4"/>
      <c r="W34" s="5">
        <f t="shared" si="22"/>
        <v>682.97333333333324</v>
      </c>
    </row>
    <row r="35" spans="2:39" x14ac:dyDescent="0.2">
      <c r="B35" s="7" t="s">
        <v>94</v>
      </c>
      <c r="J35" s="4">
        <v>4</v>
      </c>
      <c r="K35" s="86">
        <f t="shared" si="21"/>
        <v>0.68338999999999983</v>
      </c>
      <c r="L35" s="87">
        <f t="shared" si="14"/>
        <v>1.9084066430097322</v>
      </c>
      <c r="M35" s="88">
        <f t="shared" si="23"/>
        <v>0.125</v>
      </c>
      <c r="N35" s="89">
        <f t="shared" si="15"/>
        <v>-7.3798036801520084E-6</v>
      </c>
      <c r="O35" s="90">
        <f t="shared" si="16"/>
        <v>1033316.6124918562</v>
      </c>
      <c r="P35" s="91">
        <v>1.4465736070238835E-2</v>
      </c>
      <c r="Q35" s="91">
        <f t="shared" si="17"/>
        <v>1.446229427822902E-2</v>
      </c>
      <c r="R35" s="92">
        <f t="shared" si="18"/>
        <v>275.05072484439518</v>
      </c>
      <c r="S35" s="93">
        <f t="shared" si="19"/>
        <v>10998.105521136167</v>
      </c>
      <c r="T35" s="79">
        <f t="shared" si="20"/>
        <v>9896394.4963884987</v>
      </c>
      <c r="U35" s="94">
        <v>8.8999999999999995E-5</v>
      </c>
      <c r="V35" s="4"/>
      <c r="W35" s="5">
        <f t="shared" si="22"/>
        <v>683.38999999999987</v>
      </c>
    </row>
    <row r="36" spans="2:39" x14ac:dyDescent="0.2">
      <c r="B36" s="7" t="s">
        <v>95</v>
      </c>
      <c r="C36" s="6">
        <f>PI()*(0.7112^2-pipe_id_fbe_yr_1^2)/4*Steel_density_kg_m3</f>
        <v>164.90937232370902</v>
      </c>
      <c r="D36" s="6" t="s">
        <v>96</v>
      </c>
      <c r="J36" s="4">
        <v>5</v>
      </c>
      <c r="K36" s="86">
        <f t="shared" si="21"/>
        <v>0.68380666666666645</v>
      </c>
      <c r="L36" s="87">
        <f t="shared" si="14"/>
        <v>1.9060816373862353</v>
      </c>
      <c r="M36" s="88">
        <f t="shared" si="23"/>
        <v>0.13333333333333333</v>
      </c>
      <c r="N36" s="89">
        <f t="shared" si="15"/>
        <v>6.0444329081477122E-4</v>
      </c>
      <c r="O36" s="90">
        <f t="shared" si="16"/>
        <v>1032686.9775240707</v>
      </c>
      <c r="P36" s="91">
        <v>1.4599625722085115E-2</v>
      </c>
      <c r="Q36" s="91">
        <f t="shared" si="17"/>
        <v>1.4599625722085115E-2</v>
      </c>
      <c r="R36" s="92">
        <f t="shared" si="18"/>
        <v>276.75178056659172</v>
      </c>
      <c r="S36" s="93">
        <f t="shared" si="19"/>
        <v>11012.778184713792</v>
      </c>
      <c r="T36" s="79">
        <f t="shared" si="20"/>
        <v>9909597.3581720944</v>
      </c>
      <c r="U36" s="94">
        <v>8.8999999999999995E-5</v>
      </c>
      <c r="V36" s="4"/>
      <c r="W36" s="5">
        <f t="shared" si="22"/>
        <v>683.8066666666665</v>
      </c>
    </row>
    <row r="37" spans="2:39" x14ac:dyDescent="0.2">
      <c r="B37" s="7" t="s">
        <v>97</v>
      </c>
      <c r="C37" s="97">
        <f>C36*pipeline_length_m</f>
        <v>11543656.062659632</v>
      </c>
      <c r="D37" s="6" t="s">
        <v>98</v>
      </c>
      <c r="J37" s="4">
        <v>6</v>
      </c>
      <c r="K37" s="86">
        <f t="shared" si="21"/>
        <v>0.68422333333333307</v>
      </c>
      <c r="L37" s="87">
        <f t="shared" si="14"/>
        <v>1.9037608779962363</v>
      </c>
      <c r="M37" s="88">
        <f t="shared" si="23"/>
        <v>0.14166666666666666</v>
      </c>
      <c r="N37" s="89">
        <f t="shared" si="15"/>
        <v>2.6545611123118817E-4</v>
      </c>
      <c r="O37" s="90">
        <f t="shared" si="16"/>
        <v>1032058.1094050331</v>
      </c>
      <c r="P37" s="91">
        <v>1.4732747353845787E-2</v>
      </c>
      <c r="Q37" s="91">
        <f t="shared" si="17"/>
        <v>1.4732747353845787E-2</v>
      </c>
      <c r="R37" s="92">
        <f t="shared" si="18"/>
        <v>278.42593946726026</v>
      </c>
      <c r="S37" s="93">
        <f t="shared" si="19"/>
        <v>11027.218846477232</v>
      </c>
      <c r="T37" s="79">
        <f t="shared" si="20"/>
        <v>9922591.4584128372</v>
      </c>
      <c r="U37" s="94">
        <v>8.8999999999999995E-5</v>
      </c>
      <c r="V37" s="4"/>
      <c r="W37" s="5">
        <f t="shared" si="22"/>
        <v>684.22333333333302</v>
      </c>
      <c r="AM37" s="6">
        <v>28170</v>
      </c>
    </row>
    <row r="38" spans="2:39" x14ac:dyDescent="0.2">
      <c r="J38" s="4">
        <v>7</v>
      </c>
      <c r="K38" s="86">
        <f t="shared" si="21"/>
        <v>0.68463999999999969</v>
      </c>
      <c r="L38" s="87">
        <f t="shared" si="14"/>
        <v>1.9014443545059805</v>
      </c>
      <c r="M38" s="88">
        <f t="shared" si="23"/>
        <v>0.15</v>
      </c>
      <c r="N38" s="89">
        <f t="shared" si="15"/>
        <v>5.5020075175171712E-4</v>
      </c>
      <c r="O38" s="90">
        <f t="shared" si="16"/>
        <v>1031430.0067346485</v>
      </c>
      <c r="P38" s="91">
        <v>1.48599623739318E-2</v>
      </c>
      <c r="Q38" s="91">
        <f t="shared" ref="Q38:Q56" si="24">0.25/(LOG10((M38/1000/(3.7*K38))+(5.74/((K38*L38/v_kinematic_viscosity)^0.9)))^2)- 0.000091</f>
        <v>1.48599623739318E-2</v>
      </c>
      <c r="R38" s="92">
        <f t="shared" si="18"/>
        <v>279.97658912149171</v>
      </c>
      <c r="S38" s="93">
        <f t="shared" si="19"/>
        <v>11040.594164173419</v>
      </c>
      <c r="T38" s="79">
        <f t="shared" si="20"/>
        <v>9934626.9330845065</v>
      </c>
      <c r="U38" s="94">
        <f t="shared" ref="U38:U56" si="25">Q38-P38</f>
        <v>0</v>
      </c>
      <c r="V38" s="4"/>
      <c r="W38" s="5">
        <f t="shared" si="22"/>
        <v>684.63999999999965</v>
      </c>
      <c r="AM38" s="6">
        <v>3686</v>
      </c>
    </row>
    <row r="39" spans="2:39" x14ac:dyDescent="0.2">
      <c r="J39" s="4">
        <v>8</v>
      </c>
      <c r="K39" s="86">
        <f t="shared" si="21"/>
        <v>0.68505666666666631</v>
      </c>
      <c r="L39" s="87">
        <f t="shared" si="14"/>
        <v>1.8991320566131293</v>
      </c>
      <c r="M39" s="88">
        <f t="shared" si="23"/>
        <v>0.15833333333333333</v>
      </c>
      <c r="N39" s="89">
        <f t="shared" si="15"/>
        <v>3.0828480642774991E-4</v>
      </c>
      <c r="O39" s="90">
        <f t="shared" si="16"/>
        <v>1030802.6681162285</v>
      </c>
      <c r="P39" s="91">
        <v>1.4985540642781731E-2</v>
      </c>
      <c r="Q39" s="91">
        <f t="shared" si="24"/>
        <v>1.4985540642781731E-2</v>
      </c>
      <c r="R39" s="92">
        <f t="shared" si="18"/>
        <v>281.48501825025056</v>
      </c>
      <c r="S39" s="93">
        <f t="shared" si="19"/>
        <v>11053.605303578301</v>
      </c>
      <c r="T39" s="79">
        <f t="shared" si="20"/>
        <v>9946334.7102240138</v>
      </c>
      <c r="U39" s="94">
        <f t="shared" si="25"/>
        <v>0</v>
      </c>
      <c r="V39" s="4"/>
      <c r="W39" s="5">
        <f t="shared" si="22"/>
        <v>685.05666666666627</v>
      </c>
    </row>
    <row r="40" spans="2:39" x14ac:dyDescent="0.2">
      <c r="J40" s="4">
        <v>9</v>
      </c>
      <c r="K40" s="86">
        <f t="shared" si="21"/>
        <v>0.68547333333333293</v>
      </c>
      <c r="L40" s="87">
        <f t="shared" si="14"/>
        <v>1.896823974046647</v>
      </c>
      <c r="M40" s="88">
        <f t="shared" si="23"/>
        <v>0.16666666666666666</v>
      </c>
      <c r="N40" s="89">
        <f t="shared" si="15"/>
        <v>1.0689673024444346E-4</v>
      </c>
      <c r="O40" s="90">
        <f t="shared" si="16"/>
        <v>1030176.0921564804</v>
      </c>
      <c r="P40" s="91">
        <v>1.510772350240186E-2</v>
      </c>
      <c r="Q40" s="91">
        <f t="shared" si="24"/>
        <v>1.510772350240186E-2</v>
      </c>
      <c r="R40" s="92">
        <f t="shared" si="18"/>
        <v>282.9186393269743</v>
      </c>
      <c r="S40" s="93">
        <f t="shared" si="19"/>
        <v>11065.971177007417</v>
      </c>
      <c r="T40" s="79">
        <f t="shared" si="20"/>
        <v>9957461.8594872896</v>
      </c>
      <c r="U40" s="94">
        <f t="shared" si="25"/>
        <v>0</v>
      </c>
      <c r="V40" s="4"/>
      <c r="W40" s="5">
        <f t="shared" si="22"/>
        <v>685.4733333333329</v>
      </c>
      <c r="AK40" s="98" t="e">
        <f>#REF!-#REF!</f>
        <v>#REF!</v>
      </c>
    </row>
    <row r="41" spans="2:39" x14ac:dyDescent="0.2">
      <c r="I41" s="13"/>
      <c r="J41" s="4">
        <v>10</v>
      </c>
      <c r="K41" s="86">
        <f t="shared" si="21"/>
        <v>0.68588999999999956</v>
      </c>
      <c r="L41" s="87">
        <f t="shared" si="14"/>
        <v>1.8945200965666851</v>
      </c>
      <c r="M41" s="88">
        <f t="shared" si="23"/>
        <v>0.17499999999999999</v>
      </c>
      <c r="N41" s="89">
        <f t="shared" si="15"/>
        <v>-6.0235411387665749E-5</v>
      </c>
      <c r="O41" s="90">
        <f t="shared" si="16"/>
        <v>1029550.2774654974</v>
      </c>
      <c r="P41" s="91">
        <v>1.522672774644839E-2</v>
      </c>
      <c r="Q41" s="91">
        <f t="shared" si="24"/>
        <v>1.522672774644839E-2</v>
      </c>
      <c r="R41" s="92">
        <f t="shared" si="18"/>
        <v>284.28214362063363</v>
      </c>
      <c r="S41" s="93">
        <f t="shared" si="19"/>
        <v>11077.73224957339</v>
      </c>
      <c r="T41" s="79">
        <f t="shared" si="20"/>
        <v>9968044.7924833242</v>
      </c>
      <c r="U41" s="94">
        <f t="shared" si="25"/>
        <v>0</v>
      </c>
      <c r="V41" s="4"/>
      <c r="W41" s="5">
        <f t="shared" si="22"/>
        <v>685.88999999999953</v>
      </c>
    </row>
    <row r="42" spans="2:39" x14ac:dyDescent="0.2">
      <c r="I42" s="13"/>
      <c r="J42" s="4">
        <v>11</v>
      </c>
      <c r="K42" s="86">
        <f t="shared" si="21"/>
        <v>0.68630666666666618</v>
      </c>
      <c r="L42" s="87">
        <f t="shared" si="14"/>
        <v>1.8922204139644694</v>
      </c>
      <c r="M42" s="88">
        <f t="shared" si="23"/>
        <v>0.18333333333333332</v>
      </c>
      <c r="N42" s="89">
        <f t="shared" si="15"/>
        <v>-1.9830276655241619E-4</v>
      </c>
      <c r="O42" s="90">
        <f t="shared" si="16"/>
        <v>1028925.2226567473</v>
      </c>
      <c r="P42" s="91">
        <v>1.5342748914448357E-2</v>
      </c>
      <c r="Q42" s="91">
        <f t="shared" si="24"/>
        <v>1.5342748914448357E-2</v>
      </c>
      <c r="R42" s="92">
        <f t="shared" si="18"/>
        <v>285.57977311364635</v>
      </c>
      <c r="S42" s="93">
        <f t="shared" si="19"/>
        <v>11088.925111012868</v>
      </c>
      <c r="T42" s="79">
        <f t="shared" si="20"/>
        <v>9978116.4336523991</v>
      </c>
      <c r="U42" s="94">
        <f t="shared" si="25"/>
        <v>0</v>
      </c>
      <c r="V42" s="4"/>
      <c r="W42" s="5">
        <f t="shared" si="22"/>
        <v>686.30666666666616</v>
      </c>
    </row>
    <row r="43" spans="2:39" x14ac:dyDescent="0.2">
      <c r="I43" s="13"/>
      <c r="J43" s="4">
        <v>12</v>
      </c>
      <c r="K43" s="86">
        <f t="shared" si="21"/>
        <v>0.6867233333333328</v>
      </c>
      <c r="L43" s="87">
        <f t="shared" si="14"/>
        <v>1.8899249160621872</v>
      </c>
      <c r="M43" s="88">
        <f t="shared" si="23"/>
        <v>0.19166666666666665</v>
      </c>
      <c r="N43" s="89">
        <f t="shared" si="15"/>
        <v>-3.1162587056421387E-4</v>
      </c>
      <c r="O43" s="90">
        <f t="shared" si="16"/>
        <v>1028300.9263470637</v>
      </c>
      <c r="P43" s="91">
        <v>1.5455964044707053E-2</v>
      </c>
      <c r="Q43" s="91">
        <f t="shared" si="24"/>
        <v>1.5455964044707053E-2</v>
      </c>
      <c r="R43" s="92">
        <f t="shared" si="18"/>
        <v>286.81537805931936</v>
      </c>
      <c r="S43" s="93">
        <f t="shared" si="19"/>
        <v>11099.5829721553</v>
      </c>
      <c r="T43" s="79">
        <f t="shared" si="20"/>
        <v>9987706.6670021825</v>
      </c>
      <c r="U43" s="94">
        <f t="shared" si="25"/>
        <v>0</v>
      </c>
      <c r="V43" s="4"/>
      <c r="W43" s="5">
        <f t="shared" si="22"/>
        <v>686.72333333333279</v>
      </c>
    </row>
    <row r="44" spans="2:39" x14ac:dyDescent="0.2">
      <c r="J44" s="4">
        <v>13</v>
      </c>
      <c r="K44" s="86">
        <f t="shared" si="21"/>
        <v>0.68713999999999942</v>
      </c>
      <c r="L44" s="87">
        <f t="shared" si="14"/>
        <v>1.8876335927128745</v>
      </c>
      <c r="M44" s="88">
        <f t="shared" si="23"/>
        <v>0.19999999999999998</v>
      </c>
      <c r="N44" s="89">
        <f t="shared" si="15"/>
        <v>-4.0381916534748541E-4</v>
      </c>
      <c r="O44" s="90">
        <f t="shared" si="16"/>
        <v>1027677.3871566347</v>
      </c>
      <c r="P44" s="91">
        <v>1.5566533990047159E-2</v>
      </c>
      <c r="Q44" s="91">
        <f t="shared" si="24"/>
        <v>1.5566533990047159E-2</v>
      </c>
      <c r="R44" s="92">
        <f t="shared" si="18"/>
        <v>287.99246545380822</v>
      </c>
      <c r="S44" s="93">
        <f t="shared" si="19"/>
        <v>11109.736083023707</v>
      </c>
      <c r="T44" s="79">
        <f t="shared" si="20"/>
        <v>9996842.7123261895</v>
      </c>
      <c r="U44" s="94">
        <f t="shared" si="25"/>
        <v>0</v>
      </c>
      <c r="V44" s="4"/>
      <c r="W44" s="5">
        <f t="shared" si="22"/>
        <v>687.13999999999942</v>
      </c>
      <c r="AK44" s="99" t="e">
        <f>#REF!*#REF!*#REF!</f>
        <v>#REF!</v>
      </c>
    </row>
    <row r="45" spans="2:39" x14ac:dyDescent="0.2">
      <c r="J45" s="4">
        <v>14</v>
      </c>
      <c r="K45" s="86">
        <f t="shared" si="21"/>
        <v>0.68755666666666604</v>
      </c>
      <c r="L45" s="87">
        <f t="shared" si="14"/>
        <v>1.8853464338003043</v>
      </c>
      <c r="M45" s="88">
        <f t="shared" si="23"/>
        <v>0.20833333333333331</v>
      </c>
      <c r="N45" s="89">
        <f t="shared" si="15"/>
        <v>-4.7792079898378859E-4</v>
      </c>
      <c r="O45" s="90">
        <f t="shared" si="16"/>
        <v>1027054.603708994</v>
      </c>
      <c r="P45" s="91">
        <v>1.567460537775581E-2</v>
      </c>
      <c r="Q45" s="91">
        <f t="shared" si="24"/>
        <v>1.567460537775581E-2</v>
      </c>
      <c r="R45" s="92">
        <f t="shared" si="18"/>
        <v>289.11424010737807</v>
      </c>
      <c r="S45" s="93">
        <f t="shared" si="19"/>
        <v>11119.412087099861</v>
      </c>
      <c r="T45" s="79">
        <f t="shared" si="20"/>
        <v>10005549.443981225</v>
      </c>
      <c r="U45" s="94">
        <f t="shared" si="25"/>
        <v>0</v>
      </c>
      <c r="V45" s="4"/>
      <c r="W45" s="5">
        <f t="shared" si="22"/>
        <v>687.55666666666605</v>
      </c>
    </row>
    <row r="46" spans="2:39" x14ac:dyDescent="0.2">
      <c r="J46" s="4">
        <v>15</v>
      </c>
      <c r="K46" s="86">
        <f t="shared" si="21"/>
        <v>0.68797333333333266</v>
      </c>
      <c r="L46" s="87">
        <f t="shared" si="14"/>
        <v>1.883063429238873</v>
      </c>
      <c r="M46" s="88">
        <f t="shared" si="23"/>
        <v>0.21666666666666665</v>
      </c>
      <c r="N46" s="89">
        <f t="shared" si="15"/>
        <v>-5.3649578658720998E-4</v>
      </c>
      <c r="O46" s="90">
        <f t="shared" si="16"/>
        <v>1026432.5746310083</v>
      </c>
      <c r="P46" s="91">
        <v>1.5780312277884661E-2</v>
      </c>
      <c r="Q46" s="91">
        <f t="shared" si="24"/>
        <v>1.5780312277884661E-2</v>
      </c>
      <c r="R46" s="92">
        <f t="shared" si="18"/>
        <v>290.18363964393831</v>
      </c>
      <c r="S46" s="93">
        <f t="shared" si="19"/>
        <v>11128.636323217041</v>
      </c>
      <c r="T46" s="79">
        <f t="shared" si="20"/>
        <v>10013849.662538685</v>
      </c>
      <c r="U46" s="94">
        <f t="shared" si="25"/>
        <v>0</v>
      </c>
      <c r="V46" s="4"/>
      <c r="W46" s="5">
        <f t="shared" si="22"/>
        <v>687.97333333333268</v>
      </c>
      <c r="AK46" s="6" t="e">
        <f>Thd_bare_m</f>
        <v>#NAME?</v>
      </c>
    </row>
    <row r="47" spans="2:39" x14ac:dyDescent="0.2">
      <c r="J47" s="4">
        <v>16</v>
      </c>
      <c r="K47" s="86">
        <f t="shared" si="21"/>
        <v>0.68838999999999928</v>
      </c>
      <c r="L47" s="87">
        <f t="shared" si="14"/>
        <v>1.8807845689734926</v>
      </c>
      <c r="M47" s="88">
        <f t="shared" si="23"/>
        <v>0.22499999999999998</v>
      </c>
      <c r="N47" s="89">
        <f t="shared" si="15"/>
        <v>-5.8171856321287407E-4</v>
      </c>
      <c r="O47" s="90">
        <f t="shared" si="16"/>
        <v>1025811.2985528701</v>
      </c>
      <c r="P47" s="91">
        <v>1.5883777630879267E-2</v>
      </c>
      <c r="Q47" s="91">
        <f t="shared" si="24"/>
        <v>1.5883777630879267E-2</v>
      </c>
      <c r="R47" s="92">
        <f t="shared" si="18"/>
        <v>291.20336448574454</v>
      </c>
      <c r="S47" s="93">
        <f t="shared" si="19"/>
        <v>11137.432084196727</v>
      </c>
      <c r="T47" s="79">
        <f t="shared" si="20"/>
        <v>10021764.327512905</v>
      </c>
      <c r="U47" s="94">
        <f t="shared" si="25"/>
        <v>0</v>
      </c>
      <c r="V47" s="4"/>
      <c r="W47" s="5">
        <f t="shared" si="22"/>
        <v>688.3899999999993</v>
      </c>
    </row>
    <row r="48" spans="2:39" x14ac:dyDescent="0.2">
      <c r="J48" s="4">
        <v>17</v>
      </c>
      <c r="K48" s="86">
        <f t="shared" si="21"/>
        <v>0.6888066666666659</v>
      </c>
      <c r="L48" s="87">
        <f t="shared" si="14"/>
        <v>1.8785098429794762</v>
      </c>
      <c r="M48" s="88">
        <f t="shared" si="23"/>
        <v>0.23333333333333331</v>
      </c>
      <c r="N48" s="89">
        <f t="shared" si="15"/>
        <v>-6.1543947070852312E-4</v>
      </c>
      <c r="O48" s="90">
        <f t="shared" si="16"/>
        <v>1025190.7741080857</v>
      </c>
      <c r="P48" s="91">
        <v>1.5985114475358914E-2</v>
      </c>
      <c r="Q48" s="91">
        <f t="shared" si="24"/>
        <v>1.5985114475358914E-2</v>
      </c>
      <c r="R48" s="92">
        <f t="shared" si="18"/>
        <v>292.17590367020449</v>
      </c>
      <c r="S48" s="93">
        <f t="shared" si="19"/>
        <v>11145.820839534625</v>
      </c>
      <c r="T48" s="79">
        <f t="shared" si="20"/>
        <v>10029312.75774009</v>
      </c>
      <c r="U48" s="94">
        <f t="shared" si="25"/>
        <v>0</v>
      </c>
      <c r="V48" s="4"/>
      <c r="W48" s="5">
        <f t="shared" si="22"/>
        <v>688.80666666666593</v>
      </c>
    </row>
    <row r="49" spans="9:23" x14ac:dyDescent="0.2">
      <c r="J49" s="4">
        <v>18</v>
      </c>
      <c r="K49" s="86">
        <f t="shared" si="21"/>
        <v>0.68922333333333252</v>
      </c>
      <c r="L49" s="87">
        <f t="shared" si="14"/>
        <v>1.8762392412624314</v>
      </c>
      <c r="M49" s="88">
        <f t="shared" si="23"/>
        <v>0.24166666666666664</v>
      </c>
      <c r="N49" s="89">
        <f t="shared" si="15"/>
        <v>-6.3923862826165134E-4</v>
      </c>
      <c r="O49" s="90">
        <f t="shared" si="16"/>
        <v>1024570.9999334665</v>
      </c>
      <c r="P49" s="91">
        <v>1.6084427008969296E-2</v>
      </c>
      <c r="Q49" s="91">
        <f t="shared" si="24"/>
        <v>1.6084427008969296E-2</v>
      </c>
      <c r="R49" s="92">
        <f t="shared" si="18"/>
        <v>293.10355718234314</v>
      </c>
      <c r="S49" s="93">
        <f t="shared" si="19"/>
        <v>11153.822428032056</v>
      </c>
      <c r="T49" s="79">
        <f t="shared" si="20"/>
        <v>10036512.804713286</v>
      </c>
      <c r="U49" s="94">
        <f t="shared" si="25"/>
        <v>0</v>
      </c>
      <c r="V49" s="4"/>
      <c r="W49" s="5">
        <f t="shared" si="22"/>
        <v>689.22333333333256</v>
      </c>
    </row>
    <row r="50" spans="9:23" x14ac:dyDescent="0.2">
      <c r="J50" s="4">
        <v>19</v>
      </c>
      <c r="K50" s="86">
        <f t="shared" si="21"/>
        <v>0.68963999999999914</v>
      </c>
      <c r="L50" s="87">
        <f t="shared" si="14"/>
        <v>1.8739727538581474</v>
      </c>
      <c r="M50" s="88">
        <f t="shared" si="23"/>
        <v>0.24999999999999997</v>
      </c>
      <c r="N50" s="89">
        <f t="shared" si="15"/>
        <v>-6.5446982809902465E-4</v>
      </c>
      <c r="O50" s="90">
        <f t="shared" si="16"/>
        <v>1023951.9746691178</v>
      </c>
      <c r="P50" s="91">
        <v>1.6181811509038368E-2</v>
      </c>
      <c r="Q50" s="91">
        <f t="shared" si="24"/>
        <v>1.6181811509038368E-2</v>
      </c>
      <c r="R50" s="92">
        <f t="shared" si="18"/>
        <v>293.98845535830333</v>
      </c>
      <c r="S50" s="93">
        <f t="shared" si="19"/>
        <v>11161.455225163212</v>
      </c>
      <c r="T50" s="79">
        <f t="shared" si="20"/>
        <v>10043381.003183983</v>
      </c>
      <c r="U50" s="94">
        <f t="shared" si="25"/>
        <v>0</v>
      </c>
      <c r="V50" s="4"/>
      <c r="W50" s="5">
        <f t="shared" si="22"/>
        <v>689.63999999999919</v>
      </c>
    </row>
    <row r="51" spans="9:23" x14ac:dyDescent="0.2">
      <c r="J51" s="4">
        <v>20</v>
      </c>
      <c r="K51" s="86">
        <f t="shared" si="21"/>
        <v>0.69005666666666576</v>
      </c>
      <c r="L51" s="87">
        <f t="shared" si="14"/>
        <v>1.8717103708324871</v>
      </c>
      <c r="M51" s="88">
        <f t="shared" si="23"/>
        <v>0.2583333333333333</v>
      </c>
      <c r="N51" s="89">
        <f t="shared" si="15"/>
        <v>-6.6229649408278135E-4</v>
      </c>
      <c r="O51" s="90">
        <f t="shared" si="16"/>
        <v>1023333.6969584291</v>
      </c>
      <c r="P51" s="91">
        <v>1.6277357134874753E-2</v>
      </c>
      <c r="Q51" s="91">
        <f t="shared" si="24"/>
        <v>1.6277357134874753E-2</v>
      </c>
      <c r="R51" s="92">
        <f t="shared" si="18"/>
        <v>294.83257581396919</v>
      </c>
      <c r="S51" s="93">
        <f t="shared" si="19"/>
        <v>11168.736289095077</v>
      </c>
      <c r="T51" s="79">
        <f t="shared" si="20"/>
        <v>10049932.702554815</v>
      </c>
      <c r="U51" s="94">
        <f t="shared" si="25"/>
        <v>0</v>
      </c>
      <c r="V51" s="4"/>
      <c r="W51" s="5">
        <f t="shared" si="22"/>
        <v>690.05666666666582</v>
      </c>
    </row>
    <row r="52" spans="9:23" x14ac:dyDescent="0.2">
      <c r="J52" s="4">
        <v>21</v>
      </c>
      <c r="K52" s="86">
        <f t="shared" si="21"/>
        <v>0.69047333333333238</v>
      </c>
      <c r="L52" s="87">
        <f t="shared" si="14"/>
        <v>1.869452082281279</v>
      </c>
      <c r="M52" s="88">
        <f t="shared" si="23"/>
        <v>0.26666666666666666</v>
      </c>
      <c r="N52" s="89">
        <f t="shared" si="15"/>
        <v>-6.6372128640956873E-4</v>
      </c>
      <c r="O52" s="90">
        <f t="shared" si="16"/>
        <v>1022716.1654480653</v>
      </c>
      <c r="P52" s="91">
        <v>1.6371146629657725E-2</v>
      </c>
      <c r="Q52" s="91">
        <f t="shared" si="24"/>
        <v>1.6371146629657725E-2</v>
      </c>
      <c r="R52" s="92">
        <f t="shared" si="18"/>
        <v>295.6377582721758</v>
      </c>
      <c r="S52" s="93">
        <f t="shared" si="19"/>
        <v>11175.68148858132</v>
      </c>
      <c r="T52" s="79">
        <f t="shared" si="20"/>
        <v>10056182.181961961</v>
      </c>
      <c r="U52" s="94">
        <f t="shared" si="25"/>
        <v>0</v>
      </c>
      <c r="V52" s="4"/>
      <c r="W52" s="5">
        <f t="shared" si="22"/>
        <v>690.47333333333233</v>
      </c>
    </row>
    <row r="53" spans="9:23" x14ac:dyDescent="0.2">
      <c r="J53" s="4">
        <v>22</v>
      </c>
      <c r="K53" s="86">
        <f t="shared" si="21"/>
        <v>0.690889999999999</v>
      </c>
      <c r="L53" s="87">
        <f t="shared" si="14"/>
        <v>1.8671978783302075</v>
      </c>
      <c r="M53" s="88">
        <f t="shared" si="23"/>
        <v>0.27500000000000002</v>
      </c>
      <c r="N53" s="89">
        <f t="shared" si="15"/>
        <v>-6.5961059080965612E-4</v>
      </c>
      <c r="O53" s="90">
        <f t="shared" si="16"/>
        <v>1022099.3787879553</v>
      </c>
      <c r="P53" s="91">
        <v>1.6463256936753119E-2</v>
      </c>
      <c r="Q53" s="91">
        <f t="shared" si="24"/>
        <v>1.6463256936753119E-2</v>
      </c>
      <c r="R53" s="92">
        <f t="shared" si="18"/>
        <v>296.40571759738123</v>
      </c>
      <c r="S53" s="93">
        <f t="shared" si="19"/>
        <v>11182.305615394456</v>
      </c>
      <c r="T53" s="79">
        <f t="shared" si="20"/>
        <v>10062142.751444671</v>
      </c>
      <c r="U53" s="94">
        <f t="shared" si="25"/>
        <v>0</v>
      </c>
      <c r="V53" s="4"/>
      <c r="W53" s="5">
        <f t="shared" si="22"/>
        <v>690.88999999999896</v>
      </c>
    </row>
    <row r="54" spans="9:23" x14ac:dyDescent="0.2">
      <c r="J54" s="4">
        <v>23</v>
      </c>
      <c r="K54" s="86">
        <f t="shared" si="21"/>
        <v>0.69130666666666563</v>
      </c>
      <c r="L54" s="87">
        <f t="shared" si="14"/>
        <v>1.8649477491347053</v>
      </c>
      <c r="M54" s="88">
        <f t="shared" si="23"/>
        <v>0.28333333333333338</v>
      </c>
      <c r="N54" s="89">
        <f t="shared" si="15"/>
        <v>-6.5071486697387826E-4</v>
      </c>
      <c r="O54" s="90">
        <f t="shared" si="16"/>
        <v>1021483.3356312835</v>
      </c>
      <c r="P54" s="91">
        <v>1.6553759742779884E-2</v>
      </c>
      <c r="Q54" s="91">
        <f t="shared" si="24"/>
        <v>1.6553759742779884E-2</v>
      </c>
      <c r="R54" s="92">
        <f t="shared" si="18"/>
        <v>297.13805529460893</v>
      </c>
      <c r="S54" s="93">
        <f t="shared" si="19"/>
        <v>11188.62248351137</v>
      </c>
      <c r="T54" s="79">
        <f t="shared" si="20"/>
        <v>10067826.841195082</v>
      </c>
      <c r="U54" s="94">
        <f t="shared" si="25"/>
        <v>0</v>
      </c>
      <c r="V54" s="4"/>
      <c r="W54" s="5">
        <f t="shared" si="22"/>
        <v>691.30666666666559</v>
      </c>
    </row>
    <row r="55" spans="9:23" x14ac:dyDescent="0.2">
      <c r="I55" s="100"/>
      <c r="J55" s="4">
        <v>24</v>
      </c>
      <c r="K55" s="86">
        <f t="shared" si="21"/>
        <v>0.69172333333333225</v>
      </c>
      <c r="L55" s="87">
        <f t="shared" si="14"/>
        <v>1.8627016848798466</v>
      </c>
      <c r="M55" s="88">
        <f t="shared" si="23"/>
        <v>0.29166666666666674</v>
      </c>
      <c r="N55" s="89">
        <f t="shared" si="15"/>
        <v>-6.3768562810651019E-4</v>
      </c>
      <c r="O55" s="90">
        <f t="shared" si="16"/>
        <v>1020868.0346344791</v>
      </c>
      <c r="P55" s="91">
        <v>1.6642721957717994E-2</v>
      </c>
      <c r="Q55" s="91">
        <f t="shared" si="24"/>
        <v>1.6642721957717994E-2</v>
      </c>
      <c r="R55" s="92">
        <f t="shared" si="18"/>
        <v>297.83626968723814</v>
      </c>
      <c r="S55" s="93">
        <f t="shared" si="19"/>
        <v>11194.645016903089</v>
      </c>
      <c r="T55" s="79">
        <f t="shared" si="20"/>
        <v>10073246.080553859</v>
      </c>
      <c r="U55" s="94">
        <f t="shared" si="25"/>
        <v>0</v>
      </c>
      <c r="V55" s="4"/>
      <c r="W55" s="5">
        <f t="shared" si="22"/>
        <v>691.72333333333222</v>
      </c>
    </row>
    <row r="56" spans="9:23" x14ac:dyDescent="0.2">
      <c r="J56" s="4">
        <v>25</v>
      </c>
      <c r="K56" s="86">
        <f>(diameter_mm-2*(wall_thickness_mm))/1000</f>
        <v>0.69213999999999998</v>
      </c>
      <c r="L56" s="87">
        <f t="shared" si="14"/>
        <v>1.8604596757802323</v>
      </c>
      <c r="M56" s="88">
        <f>roughness_bare_pipe_yr_25</f>
        <v>0.3</v>
      </c>
      <c r="N56" s="89">
        <f t="shared" si="15"/>
        <v>-7.3431708848659127E-5</v>
      </c>
      <c r="O56" s="90">
        <f t="shared" si="16"/>
        <v>1020253.4744572045</v>
      </c>
      <c r="P56" s="91">
        <v>1.6727872771920088E-2</v>
      </c>
      <c r="Q56" s="91">
        <f t="shared" si="24"/>
        <v>1.6730206140690963E-2</v>
      </c>
      <c r="R56" s="92">
        <f t="shared" si="18"/>
        <v>298.46013278915507</v>
      </c>
      <c r="S56" s="93">
        <f t="shared" si="19"/>
        <v>11200.02622416954</v>
      </c>
      <c r="T56" s="79">
        <f t="shared" si="20"/>
        <v>10078088.237221049</v>
      </c>
      <c r="U56" s="94">
        <f t="shared" si="25"/>
        <v>2.3333687708751438E-6</v>
      </c>
      <c r="V56" s="4"/>
      <c r="W56" s="5">
        <f t="shared" si="22"/>
        <v>692.14</v>
      </c>
    </row>
    <row r="57" spans="9:23" x14ac:dyDescent="0.2">
      <c r="K57" s="101">
        <f>(K56-K32)/24</f>
        <v>4.1666666666666702E-4</v>
      </c>
      <c r="M57" s="101">
        <f>(M56-M32)/24</f>
        <v>8.3333333333333332E-3</v>
      </c>
    </row>
  </sheetData>
  <mergeCells count="4">
    <mergeCell ref="B1:H1"/>
    <mergeCell ref="AL19:AM19"/>
    <mergeCell ref="AJ21:AJ23"/>
    <mergeCell ref="AJ25:AJ2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35</vt:i4>
      </vt:variant>
    </vt:vector>
  </HeadingPairs>
  <TitlesOfParts>
    <vt:vector size="36" baseType="lpstr">
      <vt:lpstr>FBE or not to FBE</vt:lpstr>
      <vt:lpstr>annual_operation_h</vt:lpstr>
      <vt:lpstr>corrosion_rate</vt:lpstr>
      <vt:lpstr>corrosion_rate_mm_yr</vt:lpstr>
      <vt:lpstr>cost_of_steel_MT</vt:lpstr>
      <vt:lpstr>diameter_mm</vt:lpstr>
      <vt:lpstr>discount_rate</vt:lpstr>
      <vt:lpstr>dynamic_viscosity_of_water_cP</vt:lpstr>
      <vt:lpstr>Elevation_change_m</vt:lpstr>
      <vt:lpstr>Energy_cost</vt:lpstr>
      <vt:lpstr>Flow_L_s</vt:lpstr>
      <vt:lpstr>Flow_m3_h</vt:lpstr>
      <vt:lpstr>Flow_rate_m3_s</vt:lpstr>
      <vt:lpstr>grav_accel</vt:lpstr>
      <vt:lpstr>pipe_id_bare_yr_1</vt:lpstr>
      <vt:lpstr>pipe_id_fbe_yr_1</vt:lpstr>
      <vt:lpstr>pipe_od_m</vt:lpstr>
      <vt:lpstr>pipe_segment_length_m</vt:lpstr>
      <vt:lpstr>pipeline_length_m</vt:lpstr>
      <vt:lpstr>pump_efficiency</vt:lpstr>
      <vt:lpstr>roughness_bare_pipe</vt:lpstr>
      <vt:lpstr>roughness_bare_pipe_yr_1</vt:lpstr>
      <vt:lpstr>roughness_bare_pipe_yr_25</vt:lpstr>
      <vt:lpstr>roughness_fbe_pipe</vt:lpstr>
      <vt:lpstr>roughness_FBE_yr_1</vt:lpstr>
      <vt:lpstr>roughness_FBE_yr_25</vt:lpstr>
      <vt:lpstr>Safety_factor</vt:lpstr>
      <vt:lpstr>Service_life_yr</vt:lpstr>
      <vt:lpstr>Steel_density_kg_m3</vt:lpstr>
      <vt:lpstr>Steel_price_USD_MT</vt:lpstr>
      <vt:lpstr>Supply_contingency</vt:lpstr>
      <vt:lpstr>Utilization_factor</vt:lpstr>
      <vt:lpstr>v_kinematic_viscosity</vt:lpstr>
      <vt:lpstr>wall_thickness_corrosion_mm</vt:lpstr>
      <vt:lpstr>wall_thickness_mm</vt:lpstr>
      <vt:lpstr>water_density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Mella</dc:creator>
  <cp:lastModifiedBy>JIM Mella</cp:lastModifiedBy>
  <dcterms:created xsi:type="dcterms:W3CDTF">2025-01-20T14:06:25Z</dcterms:created>
  <dcterms:modified xsi:type="dcterms:W3CDTF">2025-01-20T14:06:50Z</dcterms:modified>
</cp:coreProperties>
</file>