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gnac\Trabajo_Centra\Catedra-LDES\CII-Centra-EDF\SEN\SEN-Files\Electricity Generation\CII-CENTRA-EDF-CHILE\Estudio_Sensibilidades\"/>
    </mc:Choice>
  </mc:AlternateContent>
  <xr:revisionPtr revIDLastSave="0" documentId="13_ncr:1_{EE9CC9EA-E6B5-44CF-A64B-8642AA122D0F}" xr6:coauthVersionLast="47" xr6:coauthVersionMax="47" xr10:uidLastSave="{00000000-0000-0000-0000-000000000000}"/>
  <bookViews>
    <workbookView xWindow="-108" yWindow="-108" windowWidth="23256" windowHeight="12456" tabRatio="599" firstSheet="2" activeTab="3" xr2:uid="{00000000-000D-0000-FFFF-FFFF00000000}"/>
  </bookViews>
  <sheets>
    <sheet name="Gráficos" sheetId="45" r:id="rId1"/>
    <sheet name="CasoBase" sheetId="21" r:id="rId2"/>
    <sheet name="Ausencia_Diesel&amp;GNL" sheetId="33" r:id="rId3"/>
    <sheet name="Ausencia_Diesel&amp;GNL2" sheetId="47" r:id="rId4"/>
    <sheet name="BESS_Construccion_Masiva" sheetId="34" r:id="rId5"/>
    <sheet name="BESS_Construccion_Masiva2" sheetId="46" r:id="rId6"/>
    <sheet name="Biomasa_reconversion" sheetId="35" r:id="rId7"/>
    <sheet name="Costos_BESS_A5" sheetId="36" r:id="rId8"/>
    <sheet name="Costos_BESS_D5" sheetId="37" r:id="rId9"/>
    <sheet name="Costos_GNL_A5" sheetId="38" r:id="rId10"/>
    <sheet name="Costos_GNL_D5" sheetId="39" r:id="rId11"/>
    <sheet name="Entrada_Ampliacion_Transmision" sheetId="40" r:id="rId12"/>
    <sheet name="PSP_2029" sheetId="41" r:id="rId13"/>
    <sheet name="PSP_2033" sheetId="43" r:id="rId14"/>
    <sheet name="Sin_PSP_10H" sheetId="4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47" l="1"/>
  <c r="Q20" i="47"/>
  <c r="Q21" i="47" s="1"/>
  <c r="Q22" i="47" s="1"/>
  <c r="Q23" i="47" s="1"/>
  <c r="I15" i="47"/>
  <c r="H15" i="47"/>
  <c r="G15" i="47"/>
  <c r="E15" i="47"/>
  <c r="F15" i="47" s="1"/>
  <c r="D15" i="47"/>
  <c r="L13" i="47"/>
  <c r="L12" i="47"/>
  <c r="L11" i="47"/>
  <c r="K10" i="47"/>
  <c r="J10" i="47"/>
  <c r="L9" i="47"/>
  <c r="L7" i="47"/>
  <c r="K6" i="47"/>
  <c r="L6" i="47" s="1"/>
  <c r="J6" i="47"/>
  <c r="L5" i="47"/>
  <c r="K4" i="47"/>
  <c r="J4" i="47"/>
  <c r="J19" i="34"/>
  <c r="J10" i="46"/>
  <c r="L13" i="46"/>
  <c r="I13" i="46"/>
  <c r="F13" i="46"/>
  <c r="L12" i="46"/>
  <c r="I12" i="46"/>
  <c r="F12" i="46"/>
  <c r="L11" i="46"/>
  <c r="I11" i="46"/>
  <c r="F11" i="46"/>
  <c r="K10" i="46"/>
  <c r="H10" i="46"/>
  <c r="G10" i="46"/>
  <c r="E10" i="46"/>
  <c r="D10" i="46"/>
  <c r="L9" i="46"/>
  <c r="I9" i="46"/>
  <c r="F9" i="46"/>
  <c r="L7" i="46"/>
  <c r="I7" i="46"/>
  <c r="F7" i="46"/>
  <c r="K6" i="46"/>
  <c r="L6" i="46" s="1"/>
  <c r="J6" i="46"/>
  <c r="H6" i="46"/>
  <c r="I6" i="46" s="1"/>
  <c r="G6" i="46"/>
  <c r="E6" i="46"/>
  <c r="F6" i="46" s="1"/>
  <c r="D6" i="46"/>
  <c r="L5" i="46"/>
  <c r="I5" i="46"/>
  <c r="F5" i="46"/>
  <c r="K4" i="46"/>
  <c r="J4" i="46"/>
  <c r="H4" i="46"/>
  <c r="G4" i="46"/>
  <c r="E4" i="46"/>
  <c r="D4" i="46"/>
  <c r="J17" i="45"/>
  <c r="J16" i="45"/>
  <c r="J15" i="45"/>
  <c r="I17" i="45"/>
  <c r="I16" i="45"/>
  <c r="I15" i="45"/>
  <c r="H17" i="45"/>
  <c r="H16" i="45"/>
  <c r="H15" i="45"/>
  <c r="G17" i="45"/>
  <c r="G16" i="45"/>
  <c r="G15" i="45"/>
  <c r="F17" i="45"/>
  <c r="F16" i="45"/>
  <c r="F15" i="45"/>
  <c r="E17" i="45"/>
  <c r="E16" i="45"/>
  <c r="E15" i="45"/>
  <c r="D17" i="45"/>
  <c r="D16" i="45"/>
  <c r="D15" i="45"/>
  <c r="C17" i="45"/>
  <c r="C16" i="45"/>
  <c r="C15" i="45"/>
  <c r="B17" i="45"/>
  <c r="B16" i="45"/>
  <c r="B15" i="45"/>
  <c r="J23" i="45"/>
  <c r="J22" i="45"/>
  <c r="J21" i="45"/>
  <c r="I23" i="45"/>
  <c r="I22" i="45"/>
  <c r="I21" i="45"/>
  <c r="H23" i="45"/>
  <c r="H22" i="45"/>
  <c r="H21" i="45"/>
  <c r="G23" i="45"/>
  <c r="G22" i="45"/>
  <c r="G21" i="45"/>
  <c r="F23" i="45"/>
  <c r="F22" i="45"/>
  <c r="F21" i="45"/>
  <c r="E23" i="45"/>
  <c r="E22" i="45"/>
  <c r="E21" i="45"/>
  <c r="D23" i="45"/>
  <c r="D22" i="45"/>
  <c r="D21" i="45"/>
  <c r="C23" i="45"/>
  <c r="C22" i="45"/>
  <c r="C21" i="45"/>
  <c r="B23" i="45"/>
  <c r="B22" i="45"/>
  <c r="B21" i="45"/>
  <c r="E9" i="45"/>
  <c r="J11" i="45"/>
  <c r="I11" i="45"/>
  <c r="H11" i="45"/>
  <c r="J10" i="45"/>
  <c r="I10" i="45"/>
  <c r="H10" i="45"/>
  <c r="J9" i="45"/>
  <c r="I9" i="45"/>
  <c r="H9" i="45"/>
  <c r="G11" i="45"/>
  <c r="F11" i="45"/>
  <c r="E11" i="45"/>
  <c r="G10" i="45"/>
  <c r="F10" i="45"/>
  <c r="E10" i="45"/>
  <c r="G9" i="45"/>
  <c r="F9" i="45"/>
  <c r="D9" i="45"/>
  <c r="D11" i="45"/>
  <c r="D10" i="45"/>
  <c r="C11" i="45"/>
  <c r="C10" i="45"/>
  <c r="C9" i="45"/>
  <c r="B11" i="45"/>
  <c r="B10" i="45"/>
  <c r="B9" i="45"/>
  <c r="L13" i="44"/>
  <c r="L12" i="44"/>
  <c r="L11" i="44"/>
  <c r="L10" i="44"/>
  <c r="L9" i="44"/>
  <c r="L7" i="44"/>
  <c r="L6" i="44"/>
  <c r="L5" i="44"/>
  <c r="L4" i="44"/>
  <c r="I13" i="44"/>
  <c r="I12" i="44"/>
  <c r="I11" i="44"/>
  <c r="I10" i="44"/>
  <c r="I9" i="44"/>
  <c r="I7" i="44"/>
  <c r="I6" i="44"/>
  <c r="I5" i="44"/>
  <c r="I4" i="44"/>
  <c r="F13" i="44"/>
  <c r="F12" i="44"/>
  <c r="F11" i="44"/>
  <c r="F10" i="44"/>
  <c r="F9" i="44"/>
  <c r="F7" i="44"/>
  <c r="F6" i="44"/>
  <c r="F5" i="44"/>
  <c r="F4" i="44"/>
  <c r="L13" i="43"/>
  <c r="L12" i="43"/>
  <c r="L11" i="43"/>
  <c r="L10" i="43"/>
  <c r="L9" i="43"/>
  <c r="L7" i="43"/>
  <c r="L6" i="43"/>
  <c r="L5" i="43"/>
  <c r="L4" i="43"/>
  <c r="I13" i="43"/>
  <c r="I12" i="43"/>
  <c r="I11" i="43"/>
  <c r="I10" i="43"/>
  <c r="I9" i="43"/>
  <c r="I7" i="43"/>
  <c r="I6" i="43"/>
  <c r="I5" i="43"/>
  <c r="I4" i="43"/>
  <c r="F13" i="43"/>
  <c r="F12" i="43"/>
  <c r="F11" i="43"/>
  <c r="F10" i="43"/>
  <c r="F9" i="43"/>
  <c r="F7" i="43"/>
  <c r="F6" i="43"/>
  <c r="F5" i="43"/>
  <c r="F4" i="43"/>
  <c r="L13" i="41"/>
  <c r="L12" i="41"/>
  <c r="L11" i="41"/>
  <c r="L10" i="41"/>
  <c r="L9" i="41"/>
  <c r="L7" i="41"/>
  <c r="L6" i="41"/>
  <c r="L5" i="41"/>
  <c r="L4" i="41"/>
  <c r="I13" i="41"/>
  <c r="I12" i="41"/>
  <c r="I11" i="41"/>
  <c r="I10" i="41"/>
  <c r="I9" i="41"/>
  <c r="I7" i="41"/>
  <c r="I6" i="41"/>
  <c r="I5" i="41"/>
  <c r="I4" i="41"/>
  <c r="F13" i="41"/>
  <c r="F12" i="41"/>
  <c r="F11" i="41"/>
  <c r="F10" i="41"/>
  <c r="F9" i="41"/>
  <c r="F7" i="41"/>
  <c r="F6" i="41"/>
  <c r="F5" i="41"/>
  <c r="F4" i="41"/>
  <c r="L13" i="40"/>
  <c r="L12" i="40"/>
  <c r="L11" i="40"/>
  <c r="L10" i="40"/>
  <c r="L9" i="40"/>
  <c r="L7" i="40"/>
  <c r="L6" i="40"/>
  <c r="L5" i="40"/>
  <c r="L4" i="40"/>
  <c r="I13" i="40"/>
  <c r="I12" i="40"/>
  <c r="I11" i="40"/>
  <c r="I10" i="40"/>
  <c r="I9" i="40"/>
  <c r="I7" i="40"/>
  <c r="I6" i="40"/>
  <c r="I5" i="40"/>
  <c r="I4" i="40"/>
  <c r="F13" i="40"/>
  <c r="F12" i="40"/>
  <c r="F11" i="40"/>
  <c r="F10" i="40"/>
  <c r="F9" i="40"/>
  <c r="F7" i="40"/>
  <c r="F6" i="40"/>
  <c r="F5" i="40"/>
  <c r="F4" i="40"/>
  <c r="L13" i="39"/>
  <c r="L12" i="39"/>
  <c r="L11" i="39"/>
  <c r="L10" i="39"/>
  <c r="L9" i="39"/>
  <c r="L7" i="39"/>
  <c r="L6" i="39"/>
  <c r="L5" i="39"/>
  <c r="L4" i="39"/>
  <c r="I13" i="39"/>
  <c r="I12" i="39"/>
  <c r="I11" i="39"/>
  <c r="I10" i="39"/>
  <c r="I9" i="39"/>
  <c r="I7" i="39"/>
  <c r="I6" i="39"/>
  <c r="I5" i="39"/>
  <c r="I4" i="39"/>
  <c r="F13" i="39"/>
  <c r="F12" i="39"/>
  <c r="F11" i="39"/>
  <c r="F10" i="39"/>
  <c r="F9" i="39"/>
  <c r="F7" i="39"/>
  <c r="F6" i="39"/>
  <c r="F5" i="39"/>
  <c r="F4" i="39"/>
  <c r="L13" i="38"/>
  <c r="L12" i="38"/>
  <c r="L11" i="38"/>
  <c r="L10" i="38"/>
  <c r="L9" i="38"/>
  <c r="L7" i="38"/>
  <c r="L6" i="38"/>
  <c r="L5" i="38"/>
  <c r="L4" i="38"/>
  <c r="I13" i="38"/>
  <c r="I12" i="38"/>
  <c r="I11" i="38"/>
  <c r="I10" i="38"/>
  <c r="I9" i="38"/>
  <c r="I7" i="38"/>
  <c r="I6" i="38"/>
  <c r="I5" i="38"/>
  <c r="I4" i="38"/>
  <c r="F13" i="38"/>
  <c r="F12" i="38"/>
  <c r="F11" i="38"/>
  <c r="F10" i="38"/>
  <c r="F9" i="38"/>
  <c r="F7" i="38"/>
  <c r="F6" i="38"/>
  <c r="F5" i="38"/>
  <c r="F4" i="38"/>
  <c r="L13" i="36"/>
  <c r="L12" i="36"/>
  <c r="L11" i="36"/>
  <c r="L9" i="36"/>
  <c r="L7" i="36"/>
  <c r="L6" i="36"/>
  <c r="L5" i="36"/>
  <c r="I13" i="36"/>
  <c r="I12" i="36"/>
  <c r="I11" i="36"/>
  <c r="I9" i="36"/>
  <c r="I7" i="36"/>
  <c r="I6" i="36"/>
  <c r="I5" i="36"/>
  <c r="F13" i="36"/>
  <c r="F12" i="36"/>
  <c r="F11" i="36"/>
  <c r="F9" i="36"/>
  <c r="F7" i="36"/>
  <c r="F6" i="36"/>
  <c r="F5" i="36"/>
  <c r="L13" i="35"/>
  <c r="L12" i="35"/>
  <c r="L11" i="35"/>
  <c r="L10" i="35"/>
  <c r="L9" i="35"/>
  <c r="L7" i="35"/>
  <c r="L6" i="35"/>
  <c r="L5" i="35"/>
  <c r="L4" i="35"/>
  <c r="I13" i="35"/>
  <c r="I12" i="35"/>
  <c r="I11" i="35"/>
  <c r="I10" i="35"/>
  <c r="I9" i="35"/>
  <c r="I7" i="35"/>
  <c r="I6" i="35"/>
  <c r="I5" i="35"/>
  <c r="I4" i="35"/>
  <c r="F13" i="35"/>
  <c r="F12" i="35"/>
  <c r="F11" i="35"/>
  <c r="F10" i="35"/>
  <c r="F9" i="35"/>
  <c r="F7" i="35"/>
  <c r="F6" i="35"/>
  <c r="F5" i="35"/>
  <c r="F4" i="35"/>
  <c r="L13" i="34"/>
  <c r="L12" i="34"/>
  <c r="L11" i="34"/>
  <c r="L10" i="34"/>
  <c r="L9" i="34"/>
  <c r="L7" i="34"/>
  <c r="L6" i="34"/>
  <c r="L5" i="34"/>
  <c r="L4" i="34"/>
  <c r="I13" i="34"/>
  <c r="I12" i="34"/>
  <c r="I11" i="34"/>
  <c r="I10" i="34"/>
  <c r="I9" i="34"/>
  <c r="I7" i="34"/>
  <c r="I6" i="34"/>
  <c r="I5" i="34"/>
  <c r="I4" i="34"/>
  <c r="F13" i="34"/>
  <c r="F12" i="34"/>
  <c r="F11" i="34"/>
  <c r="F10" i="34"/>
  <c r="F9" i="34"/>
  <c r="F7" i="34"/>
  <c r="F6" i="34"/>
  <c r="F5" i="34"/>
  <c r="L13" i="33"/>
  <c r="L12" i="33"/>
  <c r="L11" i="33"/>
  <c r="L9" i="33"/>
  <c r="L7" i="33"/>
  <c r="L6" i="33"/>
  <c r="L5" i="33"/>
  <c r="L13" i="21"/>
  <c r="L12" i="21"/>
  <c r="L11" i="21"/>
  <c r="L10" i="21"/>
  <c r="L9" i="21"/>
  <c r="L7" i="21"/>
  <c r="L6" i="21"/>
  <c r="L5" i="21"/>
  <c r="L4" i="21"/>
  <c r="I13" i="21"/>
  <c r="I12" i="21"/>
  <c r="I11" i="21"/>
  <c r="I10" i="21"/>
  <c r="I9" i="21"/>
  <c r="I7" i="21"/>
  <c r="I6" i="21"/>
  <c r="I5" i="21"/>
  <c r="I4" i="21"/>
  <c r="F13" i="21"/>
  <c r="F12" i="21"/>
  <c r="F11" i="21"/>
  <c r="F10" i="21"/>
  <c r="F5" i="21"/>
  <c r="F6" i="21"/>
  <c r="F7" i="21"/>
  <c r="F9" i="21"/>
  <c r="J10" i="44"/>
  <c r="J6" i="44"/>
  <c r="J10" i="43"/>
  <c r="J6" i="43"/>
  <c r="J10" i="41"/>
  <c r="J6" i="41"/>
  <c r="G10" i="44"/>
  <c r="G6" i="44"/>
  <c r="G10" i="43"/>
  <c r="G6" i="43"/>
  <c r="G10" i="41"/>
  <c r="G6" i="41"/>
  <c r="D10" i="44"/>
  <c r="D6" i="44"/>
  <c r="D10" i="43"/>
  <c r="D19" i="43" s="1"/>
  <c r="D6" i="43"/>
  <c r="D10" i="41"/>
  <c r="D6" i="41"/>
  <c r="E6" i="41"/>
  <c r="E10" i="41"/>
  <c r="H6" i="38"/>
  <c r="E10" i="36"/>
  <c r="E4" i="34"/>
  <c r="K10" i="44"/>
  <c r="H10" i="44"/>
  <c r="E10" i="44"/>
  <c r="K6" i="44"/>
  <c r="H6" i="44"/>
  <c r="E6" i="44"/>
  <c r="K4" i="44"/>
  <c r="J4" i="44"/>
  <c r="H4" i="44"/>
  <c r="G4" i="44"/>
  <c r="E4" i="44"/>
  <c r="D4" i="44"/>
  <c r="E10" i="43"/>
  <c r="H10" i="43"/>
  <c r="K10" i="43"/>
  <c r="K6" i="43"/>
  <c r="H6" i="43"/>
  <c r="E6" i="43"/>
  <c r="K4" i="43"/>
  <c r="H4" i="43"/>
  <c r="J4" i="43"/>
  <c r="G4" i="43"/>
  <c r="G15" i="43" s="1"/>
  <c r="E4" i="43"/>
  <c r="D4" i="43"/>
  <c r="H10" i="41"/>
  <c r="K10" i="41"/>
  <c r="K6" i="41"/>
  <c r="H6" i="41"/>
  <c r="K4" i="41"/>
  <c r="H4" i="41"/>
  <c r="J4" i="41"/>
  <c r="J15" i="41" s="1"/>
  <c r="G4" i="41"/>
  <c r="G15" i="41" s="1"/>
  <c r="E4" i="41"/>
  <c r="D4" i="41"/>
  <c r="E10" i="40"/>
  <c r="H10" i="40"/>
  <c r="K10" i="40"/>
  <c r="J10" i="40"/>
  <c r="J19" i="40" s="1"/>
  <c r="G10" i="40"/>
  <c r="D10" i="40"/>
  <c r="K6" i="40"/>
  <c r="J6" i="40"/>
  <c r="H6" i="40"/>
  <c r="G6" i="40"/>
  <c r="E6" i="40"/>
  <c r="D6" i="40"/>
  <c r="H4" i="40"/>
  <c r="K4" i="40"/>
  <c r="J4" i="40"/>
  <c r="G4" i="40"/>
  <c r="E4" i="40"/>
  <c r="D4" i="40"/>
  <c r="E10" i="39"/>
  <c r="H10" i="39"/>
  <c r="K10" i="39"/>
  <c r="J10" i="39"/>
  <c r="G10" i="39"/>
  <c r="D10" i="39"/>
  <c r="K6" i="39"/>
  <c r="J6" i="39"/>
  <c r="H6" i="39"/>
  <c r="G6" i="39"/>
  <c r="E6" i="39"/>
  <c r="D6" i="39"/>
  <c r="K4" i="39"/>
  <c r="H4" i="39"/>
  <c r="J4" i="39"/>
  <c r="G4" i="39"/>
  <c r="E4" i="39"/>
  <c r="D4" i="39"/>
  <c r="E10" i="38"/>
  <c r="K10" i="38"/>
  <c r="J10" i="38"/>
  <c r="G10" i="38"/>
  <c r="D10" i="38"/>
  <c r="K6" i="38"/>
  <c r="J6" i="38"/>
  <c r="E6" i="38"/>
  <c r="D6" i="38"/>
  <c r="K4" i="38"/>
  <c r="H4" i="38"/>
  <c r="J4" i="38"/>
  <c r="G4" i="38"/>
  <c r="E4" i="38"/>
  <c r="D4" i="38"/>
  <c r="K10" i="37"/>
  <c r="H10" i="37"/>
  <c r="J10" i="37"/>
  <c r="G10" i="37"/>
  <c r="E10" i="37"/>
  <c r="D10" i="37"/>
  <c r="K6" i="37"/>
  <c r="J6" i="37"/>
  <c r="H6" i="37"/>
  <c r="G6" i="37"/>
  <c r="E6" i="37"/>
  <c r="D6" i="37"/>
  <c r="K4" i="37"/>
  <c r="J4" i="37"/>
  <c r="H4" i="37"/>
  <c r="G4" i="37"/>
  <c r="E4" i="37"/>
  <c r="D4" i="37"/>
  <c r="K10" i="36"/>
  <c r="J10" i="36"/>
  <c r="H10" i="36"/>
  <c r="G10" i="36"/>
  <c r="D10" i="36"/>
  <c r="K6" i="36"/>
  <c r="J6" i="36"/>
  <c r="H6" i="36"/>
  <c r="G6" i="36"/>
  <c r="E6" i="36"/>
  <c r="D6" i="36"/>
  <c r="K4" i="36"/>
  <c r="J4" i="36"/>
  <c r="H4" i="36"/>
  <c r="G4" i="36"/>
  <c r="E4" i="36"/>
  <c r="D4" i="36"/>
  <c r="J10" i="35"/>
  <c r="G10" i="35"/>
  <c r="D10" i="35"/>
  <c r="K6" i="35"/>
  <c r="J6" i="35"/>
  <c r="H6" i="35"/>
  <c r="G6" i="35"/>
  <c r="E6" i="35"/>
  <c r="D6" i="35"/>
  <c r="K4" i="35"/>
  <c r="E4" i="35"/>
  <c r="J4" i="35"/>
  <c r="H4" i="35"/>
  <c r="G4" i="35"/>
  <c r="D4" i="35"/>
  <c r="K10" i="34"/>
  <c r="J10" i="34"/>
  <c r="H10" i="34"/>
  <c r="G10" i="34"/>
  <c r="E10" i="34"/>
  <c r="D10" i="34"/>
  <c r="K6" i="34"/>
  <c r="J6" i="34"/>
  <c r="H6" i="34"/>
  <c r="G6" i="34"/>
  <c r="E6" i="34"/>
  <c r="D6" i="34"/>
  <c r="K4" i="34"/>
  <c r="J4" i="34"/>
  <c r="H4" i="34"/>
  <c r="G4" i="34"/>
  <c r="D4" i="34"/>
  <c r="F4" i="34" s="1"/>
  <c r="K10" i="33"/>
  <c r="L10" i="33" s="1"/>
  <c r="J10" i="33"/>
  <c r="K6" i="33"/>
  <c r="J6" i="33"/>
  <c r="K4" i="33"/>
  <c r="J18" i="33" s="1"/>
  <c r="J4" i="33"/>
  <c r="G15" i="33"/>
  <c r="D4" i="21"/>
  <c r="F4" i="21" s="1"/>
  <c r="G4" i="21"/>
  <c r="J4" i="21"/>
  <c r="G10" i="21"/>
  <c r="J10" i="21"/>
  <c r="D10" i="21"/>
  <c r="K13" i="21"/>
  <c r="K12" i="21"/>
  <c r="K11" i="21"/>
  <c r="K5" i="21"/>
  <c r="K4" i="21" s="1"/>
  <c r="H13" i="21"/>
  <c r="H12" i="21"/>
  <c r="H11" i="21"/>
  <c r="H5" i="21"/>
  <c r="H4" i="21" s="1"/>
  <c r="E13" i="21"/>
  <c r="E12" i="21"/>
  <c r="E11" i="21"/>
  <c r="E5" i="21"/>
  <c r="E4" i="21" s="1"/>
  <c r="K6" i="21"/>
  <c r="J6" i="21"/>
  <c r="H6" i="21"/>
  <c r="G6" i="21"/>
  <c r="E6" i="21"/>
  <c r="D6" i="21"/>
  <c r="L4" i="47" l="1"/>
  <c r="J18" i="47"/>
  <c r="L10" i="47"/>
  <c r="J15" i="47"/>
  <c r="K15" i="47"/>
  <c r="J19" i="47"/>
  <c r="L4" i="33"/>
  <c r="G19" i="46"/>
  <c r="H15" i="46"/>
  <c r="L4" i="46"/>
  <c r="L10" i="46"/>
  <c r="F4" i="46"/>
  <c r="J18" i="46"/>
  <c r="K15" i="46"/>
  <c r="J19" i="46"/>
  <c r="G15" i="46"/>
  <c r="I10" i="46"/>
  <c r="D18" i="46"/>
  <c r="F10" i="46"/>
  <c r="E15" i="46"/>
  <c r="G18" i="46"/>
  <c r="J15" i="46"/>
  <c r="D19" i="46"/>
  <c r="D15" i="46"/>
  <c r="I4" i="46"/>
  <c r="L4" i="36"/>
  <c r="J15" i="36"/>
  <c r="J19" i="36"/>
  <c r="G15" i="36"/>
  <c r="I4" i="36"/>
  <c r="I10" i="36"/>
  <c r="D15" i="36"/>
  <c r="F4" i="36"/>
  <c r="F10" i="36"/>
  <c r="L10" i="36"/>
  <c r="D15" i="44"/>
  <c r="K15" i="43"/>
  <c r="J15" i="40"/>
  <c r="G19" i="40"/>
  <c r="G15" i="40"/>
  <c r="D15" i="40"/>
  <c r="J15" i="38"/>
  <c r="J15" i="34"/>
  <c r="G18" i="34"/>
  <c r="G15" i="34"/>
  <c r="D15" i="34"/>
  <c r="G19" i="44"/>
  <c r="G15" i="44"/>
  <c r="J18" i="44"/>
  <c r="H15" i="44"/>
  <c r="E15" i="44"/>
  <c r="F15" i="44" s="1"/>
  <c r="D18" i="44"/>
  <c r="J19" i="43"/>
  <c r="D18" i="43"/>
  <c r="E15" i="43"/>
  <c r="F15" i="43" s="1"/>
  <c r="J19" i="41"/>
  <c r="D18" i="41"/>
  <c r="K15" i="40"/>
  <c r="D18" i="40"/>
  <c r="E15" i="40"/>
  <c r="D17" i="40" s="1"/>
  <c r="D21" i="40" s="1"/>
  <c r="G15" i="39"/>
  <c r="J19" i="39"/>
  <c r="J18" i="39"/>
  <c r="K15" i="39"/>
  <c r="H10" i="38"/>
  <c r="H15" i="38" s="1"/>
  <c r="D18" i="39"/>
  <c r="E15" i="39"/>
  <c r="J19" i="38"/>
  <c r="G15" i="38"/>
  <c r="D18" i="38"/>
  <c r="J19" i="37"/>
  <c r="D19" i="37"/>
  <c r="G15" i="37"/>
  <c r="J18" i="37"/>
  <c r="K15" i="37"/>
  <c r="H15" i="37"/>
  <c r="D18" i="37"/>
  <c r="E15" i="37"/>
  <c r="D18" i="36"/>
  <c r="G19" i="36"/>
  <c r="G18" i="36"/>
  <c r="J18" i="36"/>
  <c r="D19" i="36"/>
  <c r="K15" i="36"/>
  <c r="H15" i="36"/>
  <c r="E15" i="36"/>
  <c r="G15" i="35"/>
  <c r="J18" i="34"/>
  <c r="D18" i="34"/>
  <c r="D18" i="35"/>
  <c r="J18" i="35"/>
  <c r="E10" i="35"/>
  <c r="E15" i="35" s="1"/>
  <c r="H10" i="35"/>
  <c r="G19" i="35" s="1"/>
  <c r="D15" i="35"/>
  <c r="K10" i="35"/>
  <c r="J19" i="35" s="1"/>
  <c r="K15" i="34"/>
  <c r="H15" i="34"/>
  <c r="G19" i="34"/>
  <c r="E15" i="34"/>
  <c r="D19" i="34"/>
  <c r="D15" i="33"/>
  <c r="H15" i="33"/>
  <c r="E10" i="21"/>
  <c r="K10" i="21"/>
  <c r="H10" i="21"/>
  <c r="E15" i="21"/>
  <c r="K15" i="33"/>
  <c r="J17" i="33" s="1"/>
  <c r="J19" i="44"/>
  <c r="K15" i="44"/>
  <c r="G18" i="44"/>
  <c r="J15" i="44"/>
  <c r="D19" i="44"/>
  <c r="G19" i="43"/>
  <c r="H15" i="43"/>
  <c r="I15" i="43" s="1"/>
  <c r="G18" i="43"/>
  <c r="J18" i="43"/>
  <c r="J15" i="43"/>
  <c r="J17" i="43" s="1"/>
  <c r="J21" i="43" s="1"/>
  <c r="D15" i="43"/>
  <c r="H15" i="41"/>
  <c r="I15" i="41" s="1"/>
  <c r="G18" i="41"/>
  <c r="E15" i="41"/>
  <c r="K15" i="41"/>
  <c r="L15" i="41" s="1"/>
  <c r="J18" i="41"/>
  <c r="G19" i="41"/>
  <c r="D19" i="41"/>
  <c r="D15" i="41"/>
  <c r="H15" i="40"/>
  <c r="G18" i="40"/>
  <c r="D19" i="40"/>
  <c r="J18" i="40"/>
  <c r="D19" i="39"/>
  <c r="H15" i="39"/>
  <c r="G18" i="39"/>
  <c r="G19" i="39"/>
  <c r="J15" i="39"/>
  <c r="D15" i="39"/>
  <c r="D19" i="38"/>
  <c r="G18" i="38"/>
  <c r="E15" i="38"/>
  <c r="K15" i="38"/>
  <c r="J18" i="38"/>
  <c r="D15" i="38"/>
  <c r="G18" i="37"/>
  <c r="J15" i="37"/>
  <c r="D15" i="37"/>
  <c r="G19" i="37"/>
  <c r="G18" i="35"/>
  <c r="J15" i="35"/>
  <c r="J19" i="33"/>
  <c r="J15" i="33"/>
  <c r="L15" i="47" l="1"/>
  <c r="J17" i="47"/>
  <c r="J21" i="47" s="1"/>
  <c r="I15" i="46"/>
  <c r="F15" i="46"/>
  <c r="J17" i="46"/>
  <c r="J21" i="46" s="1"/>
  <c r="G17" i="46"/>
  <c r="G21" i="46" s="1"/>
  <c r="D17" i="46"/>
  <c r="D21" i="46" s="1"/>
  <c r="L15" i="46"/>
  <c r="L15" i="36"/>
  <c r="F15" i="36"/>
  <c r="L15" i="38"/>
  <c r="F15" i="41"/>
  <c r="L15" i="40"/>
  <c r="I15" i="40"/>
  <c r="I15" i="39"/>
  <c r="F15" i="39"/>
  <c r="G19" i="38"/>
  <c r="I15" i="37"/>
  <c r="F15" i="35"/>
  <c r="J17" i="34"/>
  <c r="J21" i="34" s="1"/>
  <c r="G17" i="34"/>
  <c r="G21" i="34" s="1"/>
  <c r="F15" i="34"/>
  <c r="D17" i="44"/>
  <c r="D21" i="44" s="1"/>
  <c r="G17" i="44"/>
  <c r="G21" i="44" s="1"/>
  <c r="J17" i="44"/>
  <c r="J21" i="44" s="1"/>
  <c r="I15" i="44"/>
  <c r="L15" i="43"/>
  <c r="D17" i="43"/>
  <c r="D21" i="43" s="1"/>
  <c r="J17" i="40"/>
  <c r="J21" i="40" s="1"/>
  <c r="G17" i="40"/>
  <c r="G21" i="40" s="1"/>
  <c r="F15" i="40"/>
  <c r="J17" i="39"/>
  <c r="J21" i="39" s="1"/>
  <c r="D17" i="39"/>
  <c r="D21" i="39" s="1"/>
  <c r="J17" i="38"/>
  <c r="J21" i="38" s="1"/>
  <c r="I15" i="38"/>
  <c r="D17" i="38"/>
  <c r="D21" i="38" s="1"/>
  <c r="J17" i="37"/>
  <c r="J21" i="37" s="1"/>
  <c r="G17" i="37"/>
  <c r="G21" i="37" s="1"/>
  <c r="D17" i="37"/>
  <c r="D21" i="37" s="1"/>
  <c r="J17" i="36"/>
  <c r="J21" i="36" s="1"/>
  <c r="G17" i="36"/>
  <c r="G21" i="36" s="1"/>
  <c r="I15" i="36"/>
  <c r="D17" i="36"/>
  <c r="D21" i="36" s="1"/>
  <c r="D19" i="35"/>
  <c r="D17" i="35"/>
  <c r="D21" i="35" s="1"/>
  <c r="K15" i="35"/>
  <c r="L15" i="35" s="1"/>
  <c r="H15" i="35"/>
  <c r="L15" i="34"/>
  <c r="I15" i="34"/>
  <c r="D17" i="34"/>
  <c r="D21" i="34" s="1"/>
  <c r="I15" i="33"/>
  <c r="E15" i="33"/>
  <c r="J21" i="33"/>
  <c r="L15" i="44"/>
  <c r="G17" i="43"/>
  <c r="G21" i="43" s="1"/>
  <c r="D17" i="41"/>
  <c r="D21" i="41" s="1"/>
  <c r="J17" i="41"/>
  <c r="J21" i="41" s="1"/>
  <c r="G17" i="41"/>
  <c r="G21" i="41" s="1"/>
  <c r="L15" i="39"/>
  <c r="G17" i="39"/>
  <c r="G21" i="39" s="1"/>
  <c r="G17" i="38"/>
  <c r="G21" i="38" s="1"/>
  <c r="F15" i="38"/>
  <c r="F15" i="37"/>
  <c r="L15" i="37"/>
  <c r="L15" i="33"/>
  <c r="D15" i="21"/>
  <c r="J15" i="21"/>
  <c r="G19" i="21"/>
  <c r="D19" i="21"/>
  <c r="H15" i="21"/>
  <c r="D18" i="21"/>
  <c r="G15" i="21"/>
  <c r="G18" i="21"/>
  <c r="J18" i="21"/>
  <c r="K15" i="21"/>
  <c r="J19" i="21"/>
  <c r="G17" i="35" l="1"/>
  <c r="G21" i="35" s="1"/>
  <c r="I15" i="35"/>
  <c r="J17" i="35"/>
  <c r="J21" i="35" s="1"/>
  <c r="F15" i="33"/>
  <c r="F15" i="21"/>
  <c r="D17" i="21"/>
  <c r="D21" i="21" s="1"/>
  <c r="L15" i="21"/>
  <c r="G17" i="21"/>
  <c r="G21" i="21" s="1"/>
  <c r="I15" i="21"/>
  <c r="J17" i="21"/>
  <c r="J21" i="21" s="1"/>
</calcChain>
</file>

<file path=xl/sharedStrings.xml><?xml version="1.0" encoding="utf-8"?>
<sst xmlns="http://schemas.openxmlformats.org/spreadsheetml/2006/main" count="941" uniqueCount="100">
  <si>
    <t>Sin LDES</t>
  </si>
  <si>
    <t>Con LDES</t>
  </si>
  <si>
    <t>Subir la tabla de descripción de escenarios</t>
  </si>
  <si>
    <t>Verificar costos de BESS de 8 hrs</t>
  </si>
  <si>
    <t>Valor de LDES por dólar invertido en LDES</t>
  </si>
  <si>
    <t>Restricción adicional PSP al 2033 todos los escenarios</t>
  </si>
  <si>
    <t>Hacer grafico completo de Almacenamiento</t>
  </si>
  <si>
    <t>Sensibilidad, que pasa si no hay gas y diesel</t>
  </si>
  <si>
    <t>caso sin LDES vs caso con LDES mostrar cuanto sube la inversión en cada tecnología</t>
  </si>
  <si>
    <t>evaluar si el gas igual se considera</t>
  </si>
  <si>
    <t>Separar el valor de LDES en operación y en inversión</t>
  </si>
  <si>
    <t>el beneficio es en operación o en inversión?</t>
  </si>
  <si>
    <t>Costos en MM USD</t>
  </si>
  <si>
    <t>Tx</t>
  </si>
  <si>
    <t>-</t>
  </si>
  <si>
    <t>LDES</t>
  </si>
  <si>
    <t>BESS</t>
  </si>
  <si>
    <t xml:space="preserve">Diff </t>
  </si>
  <si>
    <t>TOT</t>
  </si>
  <si>
    <t>GEN</t>
  </si>
  <si>
    <t>Fuel</t>
  </si>
  <si>
    <t>V O&amp;M</t>
  </si>
  <si>
    <t>Em CO2</t>
  </si>
  <si>
    <t>Potencia no servida</t>
  </si>
  <si>
    <t>Recortes</t>
  </si>
  <si>
    <t>Emisiones CO2 anual (MM)</t>
  </si>
  <si>
    <t>Energía movida por BESS anual</t>
  </si>
  <si>
    <t>Energía movida por LDES</t>
  </si>
  <si>
    <t>Energía total demandada (GWh)</t>
  </si>
  <si>
    <t>Capacidad instalada Generación</t>
  </si>
  <si>
    <t>Capacidad instalada almacenamiento</t>
  </si>
  <si>
    <t>Generación bruta</t>
  </si>
  <si>
    <t>Participación renovable</t>
  </si>
  <si>
    <t>Costos marginales</t>
  </si>
  <si>
    <t>Congestiones sistémicas</t>
  </si>
  <si>
    <t>Total</t>
  </si>
  <si>
    <t>En inversión</t>
  </si>
  <si>
    <t>En operación</t>
  </si>
  <si>
    <t>Recuperación Lenta</t>
  </si>
  <si>
    <t>Carbono Neutralidad</t>
  </si>
  <si>
    <t>Transición Acelerada</t>
  </si>
  <si>
    <t>C,INV</t>
  </si>
  <si>
    <t>Total Inv,</t>
  </si>
  <si>
    <t>C,OP</t>
  </si>
  <si>
    <t>Total Op,</t>
  </si>
  <si>
    <t>V,S,LDES</t>
  </si>
  <si>
    <t>I,I,LDES  = INV LDES / V,S LDES</t>
  </si>
  <si>
    <t>discutir con EDF este tema, Podría pasar que si es que tiene mas valor como inversión el BESS ya podría estar sobre instalado como costo hundido</t>
  </si>
  <si>
    <t>U Load</t>
  </si>
  <si>
    <t>No aplica</t>
  </si>
  <si>
    <t>Apuntes</t>
  </si>
  <si>
    <t>en que condiciones del sistema ocurre este fenomeno de desprendimiento de carga</t>
  </si>
  <si>
    <t>no deberíamos limitar bess en este escenario sin ldes o con ldes. Limite de capacidad a construir estoy hablando.</t>
  </si>
  <si>
    <t xml:space="preserve">sensibilidad sobre la sensibilidad…. </t>
  </si>
  <si>
    <t xml:space="preserve">el ahorro es bastante </t>
  </si>
  <si>
    <t>indicar el valor de energía no servida en GWh o como un % de la demanda anual.</t>
  </si>
  <si>
    <t>no se podría operar el sistema si se desprende mas de 0,1 %.</t>
  </si>
  <si>
    <t>añadir el costo de falla</t>
  </si>
  <si>
    <t xml:space="preserve">apuntes </t>
  </si>
  <si>
    <t>revisar la integración masiva estar seguro de que no nos quedamos cortos</t>
  </si>
  <si>
    <t>indicar en un parentesis: cuanto en terminos de costos entro de bess aparte de lo que ya se construyo como costo hundido</t>
  </si>
  <si>
    <t>calcular para cada tecnología el costo hundido, que no se indica en esta tabla… y añadir.</t>
  </si>
  <si>
    <t>justificar bien porque baja el valor del indice de impacto del LDES en el valor del LDES para el sistema.  Para el escenario de transición acelerada comparandolo con lo que sucede en el caso base.</t>
  </si>
  <si>
    <t>valor ldes</t>
  </si>
  <si>
    <t>realizar este grafico o tabla para mostrar los resultados de esta sensibilidad…</t>
  </si>
  <si>
    <t>quizas hacer una tabla similar entre escenarios para entedner porque el cambio es mayor en uno que en los otros cuando se mueve el costo de gnl</t>
  </si>
  <si>
    <t xml:space="preserve">eje x lo que varias y eje y sería una variable que esta cambiando. Una variable importante es el ahorro total y otra es la inversión en ldes otra variable sería el indice de impacto en el valor del LDEs. </t>
  </si>
  <si>
    <t>las variables que estén en terminos porcentuales.</t>
  </si>
  <si>
    <t xml:space="preserve">en el gráfico es mas evidente. </t>
  </si>
  <si>
    <t xml:space="preserve">mensaje edf </t>
  </si>
  <si>
    <t>hay varios factores que afectan el valor del LDES</t>
  </si>
  <si>
    <t>pero al parecer entre esos factores de los que mas afectan es el de la ventana de oportundiad…</t>
  </si>
  <si>
    <t>tu ventana es ganarle a tus competidores e invertir antes</t>
  </si>
  <si>
    <t>tu ventana casi desaparece al 2033…</t>
  </si>
  <si>
    <t xml:space="preserve">hacer otra sensibilidad al 2032. </t>
  </si>
  <si>
    <t xml:space="preserve">abre discusión de permisología… </t>
  </si>
  <si>
    <t>se podrían perder las ventanas de oportunidad.</t>
  </si>
  <si>
    <t xml:space="preserve">mostrar el grafico.. Este es valor del LDES si esntra en 2029, 2031 y 2033. </t>
  </si>
  <si>
    <t xml:space="preserve">grafico con 3 lineas… una de recuperación lenta, y dos de los otros escenarios, 2029, 2031 y 2033. </t>
  </si>
  <si>
    <t xml:space="preserve">en este escenario dejar el eje y en valor absoluto pero que todos los graficos  y que la ubicación en el grafico del valor minimo y el valor maximo sea en todas las sensibilidades la misma para poder comparar visualmente. </t>
  </si>
  <si>
    <t xml:space="preserve">es la escala la que tiene que mantenerse en los graficos. </t>
  </si>
  <si>
    <t>Sensibilidad</t>
  </si>
  <si>
    <t>Costo_BESS</t>
  </si>
  <si>
    <t>Costo_GNL</t>
  </si>
  <si>
    <t>Año_PSP</t>
  </si>
  <si>
    <t>Ejex</t>
  </si>
  <si>
    <t>Inversión LDES</t>
  </si>
  <si>
    <t>Recuperación lenta</t>
  </si>
  <si>
    <t>Carbono neutraldiad</t>
  </si>
  <si>
    <t>Transición acelerada</t>
  </si>
  <si>
    <t>Valor LDES</t>
  </si>
  <si>
    <t>Indice LDES</t>
  </si>
  <si>
    <t>calcular para cada tecnología el costo hundido, que no se indica en esta tabla… y añadir,</t>
  </si>
  <si>
    <t>justificar bien porque baja el valor del indice de impacto del LDES en el valor del LDES para el sistema,  Para el escenario de transición acelerada comparandolo con lo que sucede en el caso base,</t>
  </si>
  <si>
    <t>no deberíamos limitar bess en este escenario sin ldes o con ldes, Limite de capacidad a construir estoy hablando,</t>
  </si>
  <si>
    <t xml:space="preserve">sensibilidad sobre la sensibilidad…, </t>
  </si>
  <si>
    <t>indicar el valor de energía no servida en GWh o como un % de la demanda anual,</t>
  </si>
  <si>
    <t>no se podría operar el sistema si se desprende mas de 0,1 %,</t>
  </si>
  <si>
    <t>Costo</t>
  </si>
  <si>
    <t>División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</si>
</sst>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0_ ;_ &quot;$&quot;* \-#,##0_ ;_ &quot;$&quot;* &quot;-&quot;_ ;_ @_ "/>
    <numFmt numFmtId="41" formatCode="_ * #,##0_ ;_ * \-#,##0_ ;_ * &quot;-&quot;_ ;_ @_ "/>
    <numFmt numFmtId="164" formatCode="0.000"/>
    <numFmt numFmtId="165" formatCode="&quot;$&quot;#,##0"/>
    <numFmt numFmtId="166" formatCode="_ &quot;$&quot;* #,##0.000_ ;_ &quot;$&quot;* \-#,##0.000_ ;_ &quot;$&quot;* &quot;-&quot;_ ;_ @_ "/>
  </numFmts>
  <fonts count="9" x14ac:knownFonts="1">
    <font>
      <sz val="11"/>
      <color theme="1"/>
      <name val="Calibri"/>
      <family val="2"/>
      <scheme val="minor"/>
    </font>
    <font>
      <sz val="11"/>
      <color theme="1"/>
      <name val="Calibri"/>
      <family val="2"/>
      <scheme val="minor"/>
    </font>
    <font>
      <sz val="12"/>
      <color theme="1"/>
      <name val="Calibri"/>
      <family val="2"/>
      <scheme val="minor"/>
    </font>
    <font>
      <sz val="18"/>
      <color theme="1"/>
      <name val="Aptos"/>
      <family val="2"/>
    </font>
    <font>
      <sz val="11"/>
      <color theme="1"/>
      <name val="Aptos"/>
      <family val="2"/>
    </font>
    <font>
      <sz val="18"/>
      <color rgb="FF242424"/>
      <name val="Aptos"/>
      <family val="2"/>
    </font>
    <font>
      <b/>
      <sz val="20"/>
      <color theme="1"/>
      <name val="Aptos"/>
      <family val="2"/>
    </font>
    <font>
      <sz val="20"/>
      <color theme="1"/>
      <name val="Aptos"/>
      <family val="2"/>
    </font>
    <font>
      <b/>
      <sz val="11"/>
      <color theme="1"/>
      <name val="Aptos"/>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1" fontId="1" fillId="0" borderId="0" applyFont="0" applyFill="0" applyBorder="0" applyAlignment="0" applyProtection="0"/>
    <xf numFmtId="0" fontId="2" fillId="0" borderId="0"/>
    <xf numFmtId="9" fontId="1" fillId="0" borderId="0" applyFont="0" applyFill="0" applyBorder="0" applyAlignment="0" applyProtection="0"/>
    <xf numFmtId="42" fontId="1" fillId="0" borderId="0" applyFont="0" applyFill="0" applyBorder="0" applyAlignment="0" applyProtection="0"/>
  </cellStyleXfs>
  <cellXfs count="98">
    <xf numFmtId="0" fontId="0" fillId="0" borderId="0" xfId="0"/>
    <xf numFmtId="0" fontId="4" fillId="0" borderId="0" xfId="0" applyFont="1" applyAlignment="1">
      <alignment horizontal="center" vertical="center"/>
    </xf>
    <xf numFmtId="0" fontId="3" fillId="5" borderId="1" xfId="2" applyFont="1" applyFill="1" applyBorder="1" applyAlignment="1">
      <alignment horizontal="center" vertical="center"/>
    </xf>
    <xf numFmtId="0" fontId="4" fillId="0" borderId="0" xfId="0" applyFont="1" applyAlignment="1">
      <alignment vertical="center"/>
    </xf>
    <xf numFmtId="10" fontId="4" fillId="0" borderId="0" xfId="3" applyNumberFormat="1" applyFont="1" applyAlignment="1">
      <alignment vertical="center"/>
    </xf>
    <xf numFmtId="10" fontId="4" fillId="0" borderId="0" xfId="0" applyNumberFormat="1" applyFont="1" applyAlignment="1">
      <alignment vertical="center"/>
    </xf>
    <xf numFmtId="0" fontId="3" fillId="5" borderId="1" xfId="2" applyFont="1" applyFill="1" applyBorder="1" applyAlignment="1">
      <alignment vertical="center"/>
    </xf>
    <xf numFmtId="1" fontId="3" fillId="0" borderId="1" xfId="2" applyNumberFormat="1" applyFont="1" applyBorder="1" applyAlignment="1">
      <alignment vertical="center"/>
    </xf>
    <xf numFmtId="10" fontId="3" fillId="0" borderId="1" xfId="3" applyNumberFormat="1" applyFont="1" applyBorder="1" applyAlignment="1">
      <alignment vertical="center"/>
    </xf>
    <xf numFmtId="1" fontId="5" fillId="0" borderId="1" xfId="0" applyNumberFormat="1" applyFont="1" applyBorder="1" applyAlignment="1">
      <alignment vertical="center"/>
    </xf>
    <xf numFmtId="0" fontId="3" fillId="0" borderId="1" xfId="2" quotePrefix="1" applyFont="1" applyBorder="1" applyAlignment="1">
      <alignment vertical="center"/>
    </xf>
    <xf numFmtId="0" fontId="3" fillId="0" borderId="1" xfId="2" applyFont="1" applyBorder="1" applyAlignment="1">
      <alignment vertical="center"/>
    </xf>
    <xf numFmtId="1" fontId="5" fillId="0" borderId="5" xfId="0" applyNumberFormat="1" applyFont="1" applyBorder="1" applyAlignment="1">
      <alignment vertical="center"/>
    </xf>
    <xf numFmtId="10" fontId="3" fillId="0" borderId="5" xfId="3" applyNumberFormat="1" applyFont="1" applyBorder="1" applyAlignment="1">
      <alignment vertical="center"/>
    </xf>
    <xf numFmtId="0" fontId="3" fillId="0" borderId="5" xfId="2" applyFont="1" applyBorder="1" applyAlignment="1">
      <alignment vertical="center"/>
    </xf>
    <xf numFmtId="1" fontId="3" fillId="3" borderId="9" xfId="2" applyNumberFormat="1" applyFont="1" applyFill="1" applyBorder="1" applyAlignment="1">
      <alignment vertical="center"/>
    </xf>
    <xf numFmtId="1" fontId="3" fillId="0" borderId="1" xfId="0" applyNumberFormat="1" applyFont="1" applyBorder="1" applyAlignment="1">
      <alignment vertical="center"/>
    </xf>
    <xf numFmtId="1" fontId="3" fillId="0" borderId="5" xfId="2" applyNumberFormat="1" applyFont="1" applyBorder="1" applyAlignment="1">
      <alignment vertical="center"/>
    </xf>
    <xf numFmtId="0" fontId="6" fillId="4" borderId="1" xfId="2" applyFont="1" applyFill="1" applyBorder="1" applyAlignment="1">
      <alignment horizontal="center" vertical="center"/>
    </xf>
    <xf numFmtId="42" fontId="6" fillId="4" borderId="1" xfId="4" applyFont="1" applyFill="1" applyBorder="1" applyAlignment="1">
      <alignment vertical="center"/>
    </xf>
    <xf numFmtId="10" fontId="6" fillId="4" borderId="1" xfId="3" applyNumberFormat="1" applyFont="1" applyFill="1" applyBorder="1" applyAlignment="1">
      <alignment vertical="center"/>
    </xf>
    <xf numFmtId="0" fontId="7" fillId="0" borderId="0" xfId="0" applyFont="1" applyAlignment="1">
      <alignment vertical="center"/>
    </xf>
    <xf numFmtId="0" fontId="4" fillId="0" borderId="0" xfId="0" applyFont="1" applyAlignment="1">
      <alignment vertical="center" wrapText="1"/>
    </xf>
    <xf numFmtId="0" fontId="8" fillId="0" borderId="0" xfId="0" applyFont="1" applyAlignment="1">
      <alignment horizontal="center" vertical="center"/>
    </xf>
    <xf numFmtId="41" fontId="4" fillId="0" borderId="0" xfId="1" applyFont="1" applyFill="1" applyBorder="1" applyAlignment="1">
      <alignment vertical="center"/>
    </xf>
    <xf numFmtId="41" fontId="4" fillId="0" borderId="0" xfId="0" applyNumberFormat="1" applyFont="1" applyAlignment="1">
      <alignment vertical="center"/>
    </xf>
    <xf numFmtId="0" fontId="4" fillId="2" borderId="0" xfId="0" applyFont="1" applyFill="1" applyAlignment="1">
      <alignment vertical="center"/>
    </xf>
    <xf numFmtId="0" fontId="3" fillId="5" borderId="1" xfId="2" applyFont="1" applyFill="1" applyBorder="1" applyAlignment="1">
      <alignment horizontal="right" vertical="center" indent="1"/>
    </xf>
    <xf numFmtId="0" fontId="3" fillId="5" borderId="4" xfId="2" applyFont="1" applyFill="1" applyBorder="1" applyAlignment="1">
      <alignment horizontal="right" vertical="center" indent="1"/>
    </xf>
    <xf numFmtId="0" fontId="3" fillId="5" borderId="7" xfId="2" applyFont="1" applyFill="1" applyBorder="1" applyAlignment="1">
      <alignment horizontal="right" vertical="center" indent="1"/>
    </xf>
    <xf numFmtId="0" fontId="3" fillId="5" borderId="5" xfId="2" applyFont="1" applyFill="1" applyBorder="1" applyAlignment="1">
      <alignment horizontal="right" vertical="center" indent="1"/>
    </xf>
    <xf numFmtId="10" fontId="3" fillId="0" borderId="1" xfId="3" applyNumberFormat="1" applyFont="1" applyBorder="1" applyAlignment="1">
      <alignment horizontal="center" vertical="center"/>
    </xf>
    <xf numFmtId="0" fontId="3" fillId="5" borderId="3" xfId="2" applyFont="1" applyFill="1" applyBorder="1" applyAlignment="1">
      <alignment horizontal="right" vertical="center" indent="1"/>
    </xf>
    <xf numFmtId="1" fontId="3" fillId="3" borderId="3" xfId="2" applyNumberFormat="1" applyFont="1" applyFill="1" applyBorder="1" applyAlignment="1">
      <alignment vertical="center"/>
    </xf>
    <xf numFmtId="0" fontId="3" fillId="5" borderId="5" xfId="2" applyFont="1" applyFill="1" applyBorder="1" applyAlignment="1">
      <alignment horizontal="center" vertical="center"/>
    </xf>
    <xf numFmtId="10" fontId="3" fillId="5" borderId="5" xfId="3" applyNumberFormat="1" applyFont="1" applyFill="1" applyBorder="1" applyAlignment="1">
      <alignment horizontal="center" vertical="center"/>
    </xf>
    <xf numFmtId="10" fontId="3" fillId="5" borderId="5" xfId="2" applyNumberFormat="1" applyFont="1" applyFill="1" applyBorder="1" applyAlignment="1">
      <alignment horizontal="center" vertical="center"/>
    </xf>
    <xf numFmtId="0" fontId="3" fillId="5" borderId="2" xfId="2" applyFont="1" applyFill="1" applyBorder="1" applyAlignment="1">
      <alignment horizontal="center" vertical="center"/>
    </xf>
    <xf numFmtId="0" fontId="3" fillId="5" borderId="12" xfId="2" applyFont="1" applyFill="1" applyBorder="1" applyAlignment="1">
      <alignment horizontal="right" vertical="center" indent="1"/>
    </xf>
    <xf numFmtId="1" fontId="3" fillId="0" borderId="12" xfId="2" applyNumberFormat="1" applyFont="1" applyBorder="1" applyAlignment="1">
      <alignment vertical="center"/>
    </xf>
    <xf numFmtId="10" fontId="3" fillId="0" borderId="12" xfId="3" applyNumberFormat="1" applyFont="1" applyBorder="1" applyAlignment="1">
      <alignment vertical="center"/>
    </xf>
    <xf numFmtId="0" fontId="6" fillId="4" borderId="3" xfId="2" applyFont="1" applyFill="1" applyBorder="1" applyAlignment="1">
      <alignment horizontal="center" vertical="center"/>
    </xf>
    <xf numFmtId="42" fontId="6" fillId="4" borderId="3" xfId="4" applyFont="1" applyFill="1" applyBorder="1" applyAlignment="1">
      <alignment vertical="center"/>
    </xf>
    <xf numFmtId="10" fontId="6" fillId="4" borderId="3" xfId="3" applyNumberFormat="1" applyFont="1" applyFill="1" applyBorder="1" applyAlignment="1">
      <alignment vertical="center"/>
    </xf>
    <xf numFmtId="0" fontId="3" fillId="5" borderId="9" xfId="2" applyFont="1" applyFill="1" applyBorder="1" applyAlignment="1">
      <alignment horizontal="right" vertical="center" indent="1"/>
    </xf>
    <xf numFmtId="9" fontId="3" fillId="3" borderId="3" xfId="3" applyFont="1" applyFill="1" applyBorder="1" applyAlignment="1">
      <alignment vertical="center"/>
    </xf>
    <xf numFmtId="1" fontId="3" fillId="0" borderId="1" xfId="2" quotePrefix="1" applyNumberFormat="1" applyFont="1" applyBorder="1" applyAlignment="1">
      <alignment vertical="center"/>
    </xf>
    <xf numFmtId="1" fontId="3" fillId="3" borderId="3" xfId="3" applyNumberFormat="1" applyFont="1" applyFill="1" applyBorder="1" applyAlignment="1">
      <alignment vertical="center"/>
    </xf>
    <xf numFmtId="0" fontId="8" fillId="0" borderId="0" xfId="0" applyFont="1" applyAlignment="1">
      <alignment vertical="center"/>
    </xf>
    <xf numFmtId="10" fontId="0" fillId="0" borderId="0" xfId="0" applyNumberFormat="1"/>
    <xf numFmtId="42" fontId="0" fillId="0" borderId="0" xfId="4" applyFont="1"/>
    <xf numFmtId="164" fontId="0" fillId="0" borderId="0" xfId="0" applyNumberFormat="1"/>
    <xf numFmtId="10" fontId="0" fillId="0" borderId="0" xfId="4" applyNumberFormat="1" applyFont="1"/>
    <xf numFmtId="166" fontId="0" fillId="0" borderId="0" xfId="4" applyNumberFormat="1" applyFont="1"/>
    <xf numFmtId="0" fontId="0" fillId="0" borderId="0" xfId="0" applyAlignment="1">
      <alignment horizontal="center"/>
    </xf>
    <xf numFmtId="165" fontId="3" fillId="0" borderId="4" xfId="2" applyNumberFormat="1" applyFont="1" applyBorder="1" applyAlignment="1">
      <alignment horizontal="center" vertical="center"/>
    </xf>
    <xf numFmtId="165" fontId="3" fillId="0" borderId="10" xfId="2" applyNumberFormat="1" applyFont="1" applyBorder="1" applyAlignment="1">
      <alignment horizontal="center" vertical="center"/>
    </xf>
    <xf numFmtId="165" fontId="3" fillId="0" borderId="11" xfId="2" applyNumberFormat="1" applyFont="1" applyBorder="1" applyAlignment="1">
      <alignment horizontal="center" vertical="center"/>
    </xf>
    <xf numFmtId="0" fontId="4" fillId="0" borderId="0" xfId="0" applyFont="1" applyAlignment="1">
      <alignment horizontal="center" vertical="center"/>
    </xf>
    <xf numFmtId="0" fontId="3" fillId="5" borderId="4" xfId="2" applyFont="1" applyFill="1" applyBorder="1" applyAlignment="1">
      <alignment horizontal="right" vertical="center" indent="1"/>
    </xf>
    <xf numFmtId="0" fontId="3" fillId="5" borderId="11" xfId="2" applyFont="1" applyFill="1" applyBorder="1" applyAlignment="1">
      <alignment horizontal="right" vertical="center" indent="1"/>
    </xf>
    <xf numFmtId="0" fontId="3" fillId="0" borderId="4"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64" fontId="3" fillId="3" borderId="4" xfId="2" applyNumberFormat="1" applyFont="1" applyFill="1" applyBorder="1" applyAlignment="1">
      <alignment horizontal="center" vertical="center"/>
    </xf>
    <xf numFmtId="164" fontId="3" fillId="3" borderId="10" xfId="2" applyNumberFormat="1" applyFont="1" applyFill="1" applyBorder="1" applyAlignment="1">
      <alignment horizontal="center" vertical="center"/>
    </xf>
    <xf numFmtId="164" fontId="3" fillId="3" borderId="11" xfId="2" applyNumberFormat="1" applyFont="1" applyFill="1" applyBorder="1" applyAlignment="1">
      <alignment horizontal="center" vertical="center"/>
    </xf>
    <xf numFmtId="0" fontId="4" fillId="0" borderId="4"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165" fontId="3" fillId="3" borderId="4" xfId="2" applyNumberFormat="1" applyFont="1" applyFill="1" applyBorder="1" applyAlignment="1">
      <alignment horizontal="center" vertical="center"/>
    </xf>
    <xf numFmtId="165" fontId="3" fillId="3" borderId="10" xfId="2" applyNumberFormat="1" applyFont="1" applyFill="1" applyBorder="1" applyAlignment="1">
      <alignment horizontal="center" vertical="center"/>
    </xf>
    <xf numFmtId="165" fontId="3" fillId="3" borderId="11" xfId="2" applyNumberFormat="1" applyFont="1" applyFill="1" applyBorder="1" applyAlignment="1">
      <alignment horizontal="center" vertical="center"/>
    </xf>
    <xf numFmtId="0" fontId="3" fillId="5" borderId="1" xfId="2" applyFont="1" applyFill="1" applyBorder="1" applyAlignment="1">
      <alignment horizontal="center" vertical="center"/>
    </xf>
    <xf numFmtId="0" fontId="3" fillId="5" borderId="2" xfId="2" applyFont="1" applyFill="1" applyBorder="1" applyAlignment="1">
      <alignment horizontal="center" vertical="center"/>
    </xf>
    <xf numFmtId="0" fontId="3" fillId="5" borderId="6" xfId="2" applyFont="1" applyFill="1" applyBorder="1" applyAlignment="1">
      <alignment horizontal="center" vertical="center"/>
    </xf>
    <xf numFmtId="0" fontId="6" fillId="5" borderId="1" xfId="2" applyFont="1" applyFill="1" applyBorder="1" applyAlignment="1">
      <alignment horizontal="center" vertical="center"/>
    </xf>
    <xf numFmtId="0" fontId="6" fillId="5" borderId="5" xfId="2" applyFont="1" applyFill="1" applyBorder="1" applyAlignment="1">
      <alignment horizontal="center" vertical="center"/>
    </xf>
    <xf numFmtId="0" fontId="3" fillId="5" borderId="8" xfId="2" applyFont="1" applyFill="1" applyBorder="1" applyAlignment="1">
      <alignment horizontal="center" vertical="center"/>
    </xf>
    <xf numFmtId="1" fontId="3" fillId="3" borderId="13" xfId="2" applyNumberFormat="1" applyFont="1" applyFill="1" applyBorder="1" applyAlignment="1">
      <alignment horizontal="center" vertical="center"/>
    </xf>
    <xf numFmtId="1" fontId="3" fillId="3" borderId="14" xfId="2" applyNumberFormat="1" applyFont="1" applyFill="1" applyBorder="1" applyAlignment="1">
      <alignment horizontal="center" vertical="center"/>
    </xf>
    <xf numFmtId="1" fontId="3" fillId="3" borderId="15" xfId="2" applyNumberFormat="1" applyFont="1" applyFill="1" applyBorder="1" applyAlignment="1">
      <alignment horizontal="center" vertical="center"/>
    </xf>
    <xf numFmtId="1" fontId="3" fillId="3" borderId="16" xfId="2" applyNumberFormat="1" applyFont="1" applyFill="1" applyBorder="1" applyAlignment="1">
      <alignment horizontal="center" vertical="center"/>
    </xf>
    <xf numFmtId="1" fontId="3" fillId="3" borderId="0" xfId="2" applyNumberFormat="1" applyFont="1" applyFill="1" applyAlignment="1">
      <alignment horizontal="center" vertical="center"/>
    </xf>
    <xf numFmtId="1" fontId="3" fillId="3" borderId="17" xfId="2" applyNumberFormat="1" applyFont="1" applyFill="1" applyBorder="1" applyAlignment="1">
      <alignment horizontal="center" vertical="center"/>
    </xf>
    <xf numFmtId="1" fontId="3" fillId="3" borderId="18" xfId="2" applyNumberFormat="1" applyFont="1" applyFill="1" applyBorder="1" applyAlignment="1">
      <alignment horizontal="center" vertical="center"/>
    </xf>
    <xf numFmtId="1" fontId="3" fillId="3" borderId="19" xfId="2" applyNumberFormat="1" applyFont="1" applyFill="1" applyBorder="1" applyAlignment="1">
      <alignment horizontal="center" vertical="center"/>
    </xf>
    <xf numFmtId="1" fontId="3" fillId="3" borderId="20" xfId="2" applyNumberFormat="1" applyFont="1" applyFill="1" applyBorder="1" applyAlignment="1">
      <alignment horizontal="center" vertical="center"/>
    </xf>
    <xf numFmtId="165" fontId="3" fillId="3" borderId="21" xfId="2" applyNumberFormat="1" applyFont="1" applyFill="1" applyBorder="1" applyAlignment="1">
      <alignment horizontal="center" vertical="center"/>
    </xf>
    <xf numFmtId="165" fontId="3" fillId="3" borderId="22" xfId="2" applyNumberFormat="1" applyFont="1" applyFill="1" applyBorder="1" applyAlignment="1">
      <alignment horizontal="center" vertical="center"/>
    </xf>
    <xf numFmtId="165" fontId="3" fillId="3" borderId="23" xfId="2" applyNumberFormat="1" applyFont="1" applyFill="1" applyBorder="1" applyAlignment="1">
      <alignment horizontal="center" vertical="center"/>
    </xf>
    <xf numFmtId="165" fontId="3" fillId="3" borderId="16" xfId="2" applyNumberFormat="1" applyFont="1" applyFill="1" applyBorder="1" applyAlignment="1">
      <alignment horizontal="center" vertical="center"/>
    </xf>
    <xf numFmtId="165" fontId="3" fillId="3" borderId="0" xfId="2" applyNumberFormat="1" applyFont="1" applyFill="1" applyAlignment="1">
      <alignment horizontal="center" vertical="center"/>
    </xf>
    <xf numFmtId="165" fontId="3" fillId="3" borderId="17" xfId="2" applyNumberFormat="1" applyFont="1" applyFill="1" applyBorder="1" applyAlignment="1">
      <alignment horizontal="center" vertical="center"/>
    </xf>
    <xf numFmtId="165" fontId="3" fillId="3" borderId="24" xfId="2" applyNumberFormat="1" applyFont="1" applyFill="1" applyBorder="1" applyAlignment="1">
      <alignment horizontal="center" vertical="center"/>
    </xf>
    <xf numFmtId="165" fontId="3" fillId="3" borderId="25" xfId="2" applyNumberFormat="1" applyFont="1" applyFill="1" applyBorder="1" applyAlignment="1">
      <alignment horizontal="center" vertical="center"/>
    </xf>
    <xf numFmtId="165" fontId="3" fillId="3" borderId="26" xfId="2" applyNumberFormat="1" applyFont="1" applyFill="1" applyBorder="1" applyAlignment="1">
      <alignment horizontal="center" vertical="center"/>
    </xf>
    <xf numFmtId="41" fontId="4" fillId="0" borderId="0" xfId="1" applyFont="1" applyAlignment="1">
      <alignment vertical="center"/>
    </xf>
  </cellXfs>
  <cellStyles count="5">
    <cellStyle name="Millares [0]" xfId="1" builtinId="6"/>
    <cellStyle name="Moneda [0]" xfId="4" builtinId="7"/>
    <cellStyle name="Normal" xfId="0" builtinId="0"/>
    <cellStyle name="Normal 2" xfId="2" xr:uid="{CC25A470-ABDC-49BD-8AC4-2D66F3B4532A}"/>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Recuperación lenta MUSD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Gráficos!$B$8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Gráficos!$A$9:$A$11</c:f>
              <c:numCache>
                <c:formatCode>General</c:formatCode>
                <c:ptCount val="3"/>
                <c:pt idx="0">
                  <c:v>-1</c:v>
                </c:pt>
                <c:pt idx="1">
                  <c:v>0</c:v>
                </c:pt>
                <c:pt idx="2">
                  <c:v>1</c:v>
                </c:pt>
              </c:numCache>
            </c:numRef>
          </c:cat>
          <c:val>
            <c:numRef>
              <c:f>Gráficos!$B$9:$B$11</c:f>
              <c:numCache>
                <c:formatCode>_("$"* #,##0_);_("$"* \(#,##0\);_("$"* "-"_);_(@_)</c:formatCode>
                <c:ptCount val="3"/>
                <c:pt idx="0">
                  <c:v>3176.95</c:v>
                </c:pt>
                <c:pt idx="1">
                  <c:v>3277.13</c:v>
                </c:pt>
                <c:pt idx="2">
                  <c:v>3364.34</c:v>
                </c:pt>
              </c:numCache>
            </c:numRef>
          </c:val>
          <c:smooth val="0"/>
          <c:extLst>
            <c:ext xmlns:c16="http://schemas.microsoft.com/office/drawing/2014/chart" uri="{C3380CC4-5D6E-409C-BE32-E72D297353CC}">
              <c16:uniqueId val="{00000000-3D8C-45E6-9BBA-70F45C110F4A}"/>
            </c:ext>
          </c:extLst>
        </c:ser>
        <c:ser>
          <c:idx val="1"/>
          <c:order val="1"/>
          <c:tx>
            <c:strRef>
              <c:f>Gráficos!$C$8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Gráficos!$C$9:$C$11</c:f>
              <c:numCache>
                <c:formatCode>_("$"* #,##0_);_("$"* \(#,##0\);_("$"* "-"_);_(@_)</c:formatCode>
                <c:ptCount val="3"/>
                <c:pt idx="0">
                  <c:v>3002.02</c:v>
                </c:pt>
                <c:pt idx="1">
                  <c:v>3277.13</c:v>
                </c:pt>
                <c:pt idx="2">
                  <c:v>3476.02</c:v>
                </c:pt>
              </c:numCache>
            </c:numRef>
          </c:val>
          <c:smooth val="0"/>
          <c:extLst>
            <c:ext xmlns:c16="http://schemas.microsoft.com/office/drawing/2014/chart" uri="{C3380CC4-5D6E-409C-BE32-E72D297353CC}">
              <c16:uniqueId val="{00000001-3D8C-45E6-9BBA-70F45C110F4A}"/>
            </c:ext>
          </c:extLst>
        </c:ser>
        <c:ser>
          <c:idx val="2"/>
          <c:order val="2"/>
          <c:tx>
            <c:strRef>
              <c:f>Gráficos!$D$8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Gráficos!$D$9:$D$11</c:f>
              <c:numCache>
                <c:formatCode>_("$"* #,##0_);_("$"* \(#,##0\);_("$"* "-"_);_(@_)</c:formatCode>
                <c:ptCount val="3"/>
                <c:pt idx="0">
                  <c:v>3078.44</c:v>
                </c:pt>
                <c:pt idx="1">
                  <c:v>3277.13</c:v>
                </c:pt>
                <c:pt idx="2">
                  <c:v>3521.63</c:v>
                </c:pt>
              </c:numCache>
            </c:numRef>
          </c:val>
          <c:smooth val="0"/>
          <c:extLst>
            <c:ext xmlns:c16="http://schemas.microsoft.com/office/drawing/2014/chart" uri="{C3380CC4-5D6E-409C-BE32-E72D297353CC}">
              <c16:uniqueId val="{00000002-3D8C-45E6-9BBA-70F45C110F4A}"/>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4000"/>
          <c:min val="1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Carbono neutralidad MUSD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Gráficos!$E$8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Gráficos!$A$9:$A$11</c:f>
              <c:numCache>
                <c:formatCode>General</c:formatCode>
                <c:ptCount val="3"/>
                <c:pt idx="0">
                  <c:v>-1</c:v>
                </c:pt>
                <c:pt idx="1">
                  <c:v>0</c:v>
                </c:pt>
                <c:pt idx="2">
                  <c:v>1</c:v>
                </c:pt>
              </c:numCache>
            </c:numRef>
          </c:cat>
          <c:val>
            <c:numRef>
              <c:f>Gráficos!$E$9:$E$11</c:f>
              <c:numCache>
                <c:formatCode>_("$"* #,##0_);_("$"* \(#,##0\);_("$"* "-"_);_(@_)</c:formatCode>
                <c:ptCount val="3"/>
                <c:pt idx="0">
                  <c:v>2340.9899999999998</c:v>
                </c:pt>
                <c:pt idx="1">
                  <c:v>2557.88</c:v>
                </c:pt>
                <c:pt idx="2">
                  <c:v>2727.37</c:v>
                </c:pt>
              </c:numCache>
            </c:numRef>
          </c:val>
          <c:smooth val="0"/>
          <c:extLst>
            <c:ext xmlns:c16="http://schemas.microsoft.com/office/drawing/2014/chart" uri="{C3380CC4-5D6E-409C-BE32-E72D297353CC}">
              <c16:uniqueId val="{00000000-BCBD-40B6-8B9A-0B314CF79742}"/>
            </c:ext>
          </c:extLst>
        </c:ser>
        <c:ser>
          <c:idx val="1"/>
          <c:order val="1"/>
          <c:tx>
            <c:strRef>
              <c:f>Gráficos!$F$8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Gráficos!$A$9:$A$11</c:f>
              <c:numCache>
                <c:formatCode>General</c:formatCode>
                <c:ptCount val="3"/>
                <c:pt idx="0">
                  <c:v>-1</c:v>
                </c:pt>
                <c:pt idx="1">
                  <c:v>0</c:v>
                </c:pt>
                <c:pt idx="2">
                  <c:v>1</c:v>
                </c:pt>
              </c:numCache>
            </c:numRef>
          </c:cat>
          <c:val>
            <c:numRef>
              <c:f>Gráficos!$F$9:$F$11</c:f>
              <c:numCache>
                <c:formatCode>_("$"* #,##0_);_("$"* \(#,##0\);_("$"* "-"_);_(@_)</c:formatCode>
                <c:ptCount val="3"/>
                <c:pt idx="0">
                  <c:v>2484.4699999999998</c:v>
                </c:pt>
                <c:pt idx="1">
                  <c:v>2557.88</c:v>
                </c:pt>
                <c:pt idx="2">
                  <c:v>2600.14</c:v>
                </c:pt>
              </c:numCache>
            </c:numRef>
          </c:val>
          <c:smooth val="0"/>
          <c:extLst>
            <c:ext xmlns:c16="http://schemas.microsoft.com/office/drawing/2014/chart" uri="{C3380CC4-5D6E-409C-BE32-E72D297353CC}">
              <c16:uniqueId val="{00000001-BCBD-40B6-8B9A-0B314CF79742}"/>
            </c:ext>
          </c:extLst>
        </c:ser>
        <c:ser>
          <c:idx val="2"/>
          <c:order val="2"/>
          <c:tx>
            <c:strRef>
              <c:f>Gráficos!$G$8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Gráficos!$A$9:$A$11</c:f>
              <c:numCache>
                <c:formatCode>General</c:formatCode>
                <c:ptCount val="3"/>
                <c:pt idx="0">
                  <c:v>-1</c:v>
                </c:pt>
                <c:pt idx="1">
                  <c:v>0</c:v>
                </c:pt>
                <c:pt idx="2">
                  <c:v>1</c:v>
                </c:pt>
              </c:numCache>
            </c:numRef>
          </c:cat>
          <c:val>
            <c:numRef>
              <c:f>Gráficos!$G$9:$G$11</c:f>
              <c:numCache>
                <c:formatCode>_("$"* #,##0_);_("$"* \(#,##0\);_("$"* "-"_);_(@_)</c:formatCode>
                <c:ptCount val="3"/>
                <c:pt idx="0">
                  <c:v>1999.93</c:v>
                </c:pt>
                <c:pt idx="1">
                  <c:v>2557.88</c:v>
                </c:pt>
                <c:pt idx="2">
                  <c:v>3186.73</c:v>
                </c:pt>
              </c:numCache>
            </c:numRef>
          </c:val>
          <c:smooth val="0"/>
          <c:extLst>
            <c:ext xmlns:c16="http://schemas.microsoft.com/office/drawing/2014/chart" uri="{C3380CC4-5D6E-409C-BE32-E72D297353CC}">
              <c16:uniqueId val="{00000002-BCBD-40B6-8B9A-0B314CF79742}"/>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4000"/>
          <c:min val="1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Transición acelerada MUSD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Gráficos!$H$8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Gráficos!$A$9:$A$11</c:f>
              <c:numCache>
                <c:formatCode>General</c:formatCode>
                <c:ptCount val="3"/>
                <c:pt idx="0">
                  <c:v>-1</c:v>
                </c:pt>
                <c:pt idx="1">
                  <c:v>0</c:v>
                </c:pt>
                <c:pt idx="2">
                  <c:v>1</c:v>
                </c:pt>
              </c:numCache>
            </c:numRef>
          </c:cat>
          <c:val>
            <c:numRef>
              <c:f>Gráficos!$H$9:$H$11</c:f>
              <c:numCache>
                <c:formatCode>_("$"* #,##0_);_("$"* \(#,##0\);_("$"* "-"_);_(@_)</c:formatCode>
                <c:ptCount val="3"/>
                <c:pt idx="0">
                  <c:v>2148.3200000000002</c:v>
                </c:pt>
                <c:pt idx="1">
                  <c:v>2267.36</c:v>
                </c:pt>
                <c:pt idx="2">
                  <c:v>2421.4299999999998</c:v>
                </c:pt>
              </c:numCache>
            </c:numRef>
          </c:val>
          <c:smooth val="0"/>
          <c:extLst>
            <c:ext xmlns:c16="http://schemas.microsoft.com/office/drawing/2014/chart" uri="{C3380CC4-5D6E-409C-BE32-E72D297353CC}">
              <c16:uniqueId val="{00000000-AC48-4BBF-A30A-3961DB4564C4}"/>
            </c:ext>
          </c:extLst>
        </c:ser>
        <c:ser>
          <c:idx val="1"/>
          <c:order val="1"/>
          <c:tx>
            <c:strRef>
              <c:f>Gráficos!$I$8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Gráficos!$A$9:$A$11</c:f>
              <c:numCache>
                <c:formatCode>General</c:formatCode>
                <c:ptCount val="3"/>
                <c:pt idx="0">
                  <c:v>-1</c:v>
                </c:pt>
                <c:pt idx="1">
                  <c:v>0</c:v>
                </c:pt>
                <c:pt idx="2">
                  <c:v>1</c:v>
                </c:pt>
              </c:numCache>
            </c:numRef>
          </c:cat>
          <c:val>
            <c:numRef>
              <c:f>Gráficos!$I$9:$I$11</c:f>
              <c:numCache>
                <c:formatCode>_("$"* #,##0_);_("$"* \(#,##0\);_("$"* "-"_);_(@_)</c:formatCode>
                <c:ptCount val="3"/>
                <c:pt idx="0">
                  <c:v>2243.48</c:v>
                </c:pt>
                <c:pt idx="1">
                  <c:v>2267.36</c:v>
                </c:pt>
                <c:pt idx="2">
                  <c:v>2249.5700000000002</c:v>
                </c:pt>
              </c:numCache>
            </c:numRef>
          </c:val>
          <c:smooth val="0"/>
          <c:extLst>
            <c:ext xmlns:c16="http://schemas.microsoft.com/office/drawing/2014/chart" uri="{C3380CC4-5D6E-409C-BE32-E72D297353CC}">
              <c16:uniqueId val="{00000001-AC48-4BBF-A30A-3961DB4564C4}"/>
            </c:ext>
          </c:extLst>
        </c:ser>
        <c:ser>
          <c:idx val="2"/>
          <c:order val="2"/>
          <c:tx>
            <c:strRef>
              <c:f>Gráficos!$J$8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Gráficos!$A$9:$A$11</c:f>
              <c:numCache>
                <c:formatCode>General</c:formatCode>
                <c:ptCount val="3"/>
                <c:pt idx="0">
                  <c:v>-1</c:v>
                </c:pt>
                <c:pt idx="1">
                  <c:v>0</c:v>
                </c:pt>
                <c:pt idx="2">
                  <c:v>1</c:v>
                </c:pt>
              </c:numCache>
            </c:numRef>
          </c:cat>
          <c:val>
            <c:numRef>
              <c:f>Gráficos!$J$9:$J$11</c:f>
              <c:numCache>
                <c:formatCode>_("$"* #,##0_);_("$"* \(#,##0\);_("$"* "-"_);_(@_)</c:formatCode>
                <c:ptCount val="3"/>
                <c:pt idx="0">
                  <c:v>1603.41</c:v>
                </c:pt>
                <c:pt idx="1">
                  <c:v>2267.36</c:v>
                </c:pt>
                <c:pt idx="2">
                  <c:v>3121.78</c:v>
                </c:pt>
              </c:numCache>
            </c:numRef>
          </c:val>
          <c:smooth val="0"/>
          <c:extLst>
            <c:ext xmlns:c16="http://schemas.microsoft.com/office/drawing/2014/chart" uri="{C3380CC4-5D6E-409C-BE32-E72D297353CC}">
              <c16:uniqueId val="{00000002-AC48-4BBF-A30A-3961DB4564C4}"/>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4000"/>
          <c:min val="1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Valor LDES,</a:t>
            </a:r>
            <a:r>
              <a:rPr lang="es-CL" baseline="0"/>
              <a:t> Recuperación lenta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Gráficos!$B$14</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Gráficos!$A$15:$A$17</c:f>
              <c:numCache>
                <c:formatCode>General</c:formatCode>
                <c:ptCount val="3"/>
                <c:pt idx="0">
                  <c:v>-1</c:v>
                </c:pt>
                <c:pt idx="1">
                  <c:v>0</c:v>
                </c:pt>
                <c:pt idx="2">
                  <c:v>1</c:v>
                </c:pt>
              </c:numCache>
            </c:numRef>
          </c:cat>
          <c:val>
            <c:numRef>
              <c:f>Gráficos!$B$15:$B$17</c:f>
              <c:numCache>
                <c:formatCode>0.00%</c:formatCode>
                <c:ptCount val="3"/>
                <c:pt idx="0">
                  <c:v>1.3090996715817498E-2</c:v>
                </c:pt>
                <c:pt idx="1">
                  <c:v>1.4648352091752408E-2</c:v>
                </c:pt>
                <c:pt idx="2">
                  <c:v>1.6082612751339903E-2</c:v>
                </c:pt>
              </c:numCache>
            </c:numRef>
          </c:val>
          <c:smooth val="0"/>
          <c:extLst>
            <c:ext xmlns:c16="http://schemas.microsoft.com/office/drawing/2014/chart" uri="{C3380CC4-5D6E-409C-BE32-E72D297353CC}">
              <c16:uniqueId val="{00000000-B11B-40C3-A771-7448C41AB89D}"/>
            </c:ext>
          </c:extLst>
        </c:ser>
        <c:ser>
          <c:idx val="1"/>
          <c:order val="1"/>
          <c:tx>
            <c:strRef>
              <c:f>Gráficos!$C$14</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Gráficos!$A$15:$A$17</c:f>
              <c:numCache>
                <c:formatCode>General</c:formatCode>
                <c:ptCount val="3"/>
                <c:pt idx="0">
                  <c:v>-1</c:v>
                </c:pt>
                <c:pt idx="1">
                  <c:v>0</c:v>
                </c:pt>
                <c:pt idx="2">
                  <c:v>1</c:v>
                </c:pt>
              </c:numCache>
            </c:numRef>
          </c:cat>
          <c:val>
            <c:numRef>
              <c:f>Gráficos!$C$15:$C$17</c:f>
              <c:numCache>
                <c:formatCode>0.00%</c:formatCode>
                <c:ptCount val="3"/>
                <c:pt idx="0">
                  <c:v>1.316383676371273E-2</c:v>
                </c:pt>
                <c:pt idx="1">
                  <c:v>1.4648352091752408E-2</c:v>
                </c:pt>
                <c:pt idx="2">
                  <c:v>1.6040278638018157E-2</c:v>
                </c:pt>
              </c:numCache>
            </c:numRef>
          </c:val>
          <c:smooth val="0"/>
          <c:extLst>
            <c:ext xmlns:c16="http://schemas.microsoft.com/office/drawing/2014/chart" uri="{C3380CC4-5D6E-409C-BE32-E72D297353CC}">
              <c16:uniqueId val="{00000001-B11B-40C3-A771-7448C41AB89D}"/>
            </c:ext>
          </c:extLst>
        </c:ser>
        <c:ser>
          <c:idx val="2"/>
          <c:order val="2"/>
          <c:tx>
            <c:strRef>
              <c:f>Gráficos!$D$14</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Gráficos!$A$15:$A$17</c:f>
              <c:numCache>
                <c:formatCode>General</c:formatCode>
                <c:ptCount val="3"/>
                <c:pt idx="0">
                  <c:v>-1</c:v>
                </c:pt>
                <c:pt idx="1">
                  <c:v>0</c:v>
                </c:pt>
                <c:pt idx="2">
                  <c:v>1</c:v>
                </c:pt>
              </c:numCache>
            </c:numRef>
          </c:cat>
          <c:val>
            <c:numRef>
              <c:f>Gráficos!$D$15:$D$17</c:f>
              <c:numCache>
                <c:formatCode>0.00%</c:formatCode>
                <c:ptCount val="3"/>
                <c:pt idx="0">
                  <c:v>1.3513551090019118E-2</c:v>
                </c:pt>
                <c:pt idx="1">
                  <c:v>1.4648352091752408E-2</c:v>
                </c:pt>
                <c:pt idx="2">
                  <c:v>1.6721970932819206E-2</c:v>
                </c:pt>
              </c:numCache>
            </c:numRef>
          </c:val>
          <c:smooth val="0"/>
          <c:extLst>
            <c:ext xmlns:c16="http://schemas.microsoft.com/office/drawing/2014/chart" uri="{C3380CC4-5D6E-409C-BE32-E72D297353CC}">
              <c16:uniqueId val="{00000002-B11B-40C3-A771-7448C41AB89D}"/>
            </c:ext>
          </c:extLst>
        </c:ser>
        <c:dLbls>
          <c:showLegendKey val="0"/>
          <c:showVal val="0"/>
          <c:showCatName val="0"/>
          <c:showSerName val="0"/>
          <c:showPercent val="0"/>
          <c:showBubbleSize val="0"/>
        </c:dLbls>
        <c:marker val="1"/>
        <c:smooth val="0"/>
        <c:axId val="105256112"/>
        <c:axId val="105256592"/>
      </c:lineChart>
      <c:catAx>
        <c:axId val="1052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592"/>
        <c:crosses val="autoZero"/>
        <c:auto val="1"/>
        <c:lblAlgn val="ctr"/>
        <c:lblOffset val="100"/>
        <c:noMultiLvlLbl val="0"/>
      </c:catAx>
      <c:valAx>
        <c:axId val="105256592"/>
        <c:scaling>
          <c:orientation val="minMax"/>
          <c:max val="1.8000000000000002E-2"/>
          <c:min val="3.0000000000000009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Valor LDES,</a:t>
            </a:r>
            <a:r>
              <a:rPr lang="es-CL" baseline="0"/>
              <a:t> Carbono neutralidad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Gráficos!$E$14</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Gráficos!$A$15:$A$17</c:f>
              <c:numCache>
                <c:formatCode>General</c:formatCode>
                <c:ptCount val="3"/>
                <c:pt idx="0">
                  <c:v>-1</c:v>
                </c:pt>
                <c:pt idx="1">
                  <c:v>0</c:v>
                </c:pt>
                <c:pt idx="2">
                  <c:v>1</c:v>
                </c:pt>
              </c:numCache>
            </c:numRef>
          </c:cat>
          <c:val>
            <c:numRef>
              <c:f>Gráficos!$E$15:$E$17</c:f>
              <c:numCache>
                <c:formatCode>0.00%</c:formatCode>
                <c:ptCount val="3"/>
                <c:pt idx="0">
                  <c:v>5.1002944014727014E-3</c:v>
                </c:pt>
                <c:pt idx="1">
                  <c:v>6.1582185328220096E-3</c:v>
                </c:pt>
                <c:pt idx="2">
                  <c:v>7.3137188283329269E-3</c:v>
                </c:pt>
              </c:numCache>
            </c:numRef>
          </c:val>
          <c:smooth val="0"/>
          <c:extLst>
            <c:ext xmlns:c16="http://schemas.microsoft.com/office/drawing/2014/chart" uri="{C3380CC4-5D6E-409C-BE32-E72D297353CC}">
              <c16:uniqueId val="{00000000-F674-4906-B9AD-4F4E4E438B5D}"/>
            </c:ext>
          </c:extLst>
        </c:ser>
        <c:ser>
          <c:idx val="1"/>
          <c:order val="1"/>
          <c:tx>
            <c:strRef>
              <c:f>Gráficos!$F$14</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Gráficos!$A$15:$A$17</c:f>
              <c:numCache>
                <c:formatCode>General</c:formatCode>
                <c:ptCount val="3"/>
                <c:pt idx="0">
                  <c:v>-1</c:v>
                </c:pt>
                <c:pt idx="1">
                  <c:v>0</c:v>
                </c:pt>
                <c:pt idx="2">
                  <c:v>1</c:v>
                </c:pt>
              </c:numCache>
            </c:numRef>
          </c:cat>
          <c:val>
            <c:numRef>
              <c:f>Gráficos!$F$15:$F$17</c:f>
              <c:numCache>
                <c:formatCode>0.00%</c:formatCode>
                <c:ptCount val="3"/>
                <c:pt idx="0">
                  <c:v>5.8258284475293173E-3</c:v>
                </c:pt>
                <c:pt idx="1">
                  <c:v>6.1582185328220096E-3</c:v>
                </c:pt>
                <c:pt idx="2">
                  <c:v>6.5107467346204118E-3</c:v>
                </c:pt>
              </c:numCache>
            </c:numRef>
          </c:val>
          <c:smooth val="0"/>
          <c:extLst>
            <c:ext xmlns:c16="http://schemas.microsoft.com/office/drawing/2014/chart" uri="{C3380CC4-5D6E-409C-BE32-E72D297353CC}">
              <c16:uniqueId val="{00000001-F674-4906-B9AD-4F4E4E438B5D}"/>
            </c:ext>
          </c:extLst>
        </c:ser>
        <c:ser>
          <c:idx val="2"/>
          <c:order val="2"/>
          <c:tx>
            <c:strRef>
              <c:f>Gráficos!$G$14</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Gráficos!$A$15:$A$17</c:f>
              <c:numCache>
                <c:formatCode>General</c:formatCode>
                <c:ptCount val="3"/>
                <c:pt idx="0">
                  <c:v>-1</c:v>
                </c:pt>
                <c:pt idx="1">
                  <c:v>0</c:v>
                </c:pt>
                <c:pt idx="2">
                  <c:v>1</c:v>
                </c:pt>
              </c:numCache>
            </c:numRef>
          </c:cat>
          <c:val>
            <c:numRef>
              <c:f>Gráficos!$G$15:$G$17</c:f>
              <c:numCache>
                <c:formatCode>0.00%</c:formatCode>
                <c:ptCount val="3"/>
                <c:pt idx="0">
                  <c:v>3.8741632332689444E-3</c:v>
                </c:pt>
                <c:pt idx="1">
                  <c:v>6.1582185328220096E-3</c:v>
                </c:pt>
                <c:pt idx="2">
                  <c:v>9.5876428128698187E-3</c:v>
                </c:pt>
              </c:numCache>
            </c:numRef>
          </c:val>
          <c:smooth val="0"/>
          <c:extLst>
            <c:ext xmlns:c16="http://schemas.microsoft.com/office/drawing/2014/chart" uri="{C3380CC4-5D6E-409C-BE32-E72D297353CC}">
              <c16:uniqueId val="{00000002-F674-4906-B9AD-4F4E4E438B5D}"/>
            </c:ext>
          </c:extLst>
        </c:ser>
        <c:dLbls>
          <c:showLegendKey val="0"/>
          <c:showVal val="0"/>
          <c:showCatName val="0"/>
          <c:showSerName val="0"/>
          <c:showPercent val="0"/>
          <c:showBubbleSize val="0"/>
        </c:dLbls>
        <c:marker val="1"/>
        <c:smooth val="0"/>
        <c:axId val="105256112"/>
        <c:axId val="105256592"/>
      </c:lineChart>
      <c:catAx>
        <c:axId val="1052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592"/>
        <c:crosses val="autoZero"/>
        <c:auto val="1"/>
        <c:lblAlgn val="ctr"/>
        <c:lblOffset val="100"/>
        <c:noMultiLvlLbl val="0"/>
      </c:catAx>
      <c:valAx>
        <c:axId val="105256592"/>
        <c:scaling>
          <c:orientation val="minMax"/>
          <c:max val="1.8000000000000002E-2"/>
          <c:min val="3.0000000000000009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Valor LDES,</a:t>
            </a:r>
            <a:r>
              <a:rPr lang="es-CL" baseline="0"/>
              <a:t> Transición acelerada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Gráficos!$H$14</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Gráficos!$A$15:$A$17</c:f>
              <c:numCache>
                <c:formatCode>General</c:formatCode>
                <c:ptCount val="3"/>
                <c:pt idx="0">
                  <c:v>-1</c:v>
                </c:pt>
                <c:pt idx="1">
                  <c:v>0</c:v>
                </c:pt>
                <c:pt idx="2">
                  <c:v>1</c:v>
                </c:pt>
              </c:numCache>
            </c:numRef>
          </c:cat>
          <c:val>
            <c:numRef>
              <c:f>Gráficos!$H$15:$H$17</c:f>
              <c:numCache>
                <c:formatCode>0.00%</c:formatCode>
                <c:ptCount val="3"/>
                <c:pt idx="0">
                  <c:v>5.0756662975447791E-3</c:v>
                </c:pt>
                <c:pt idx="1">
                  <c:v>5.9463167349695653E-3</c:v>
                </c:pt>
                <c:pt idx="2">
                  <c:v>6.8502191363799788E-3</c:v>
                </c:pt>
              </c:numCache>
            </c:numRef>
          </c:val>
          <c:smooth val="0"/>
          <c:extLst>
            <c:ext xmlns:c16="http://schemas.microsoft.com/office/drawing/2014/chart" uri="{C3380CC4-5D6E-409C-BE32-E72D297353CC}">
              <c16:uniqueId val="{00000000-65CA-49C1-AC27-21A90C1E7E65}"/>
            </c:ext>
          </c:extLst>
        </c:ser>
        <c:ser>
          <c:idx val="1"/>
          <c:order val="1"/>
          <c:tx>
            <c:strRef>
              <c:f>Gráficos!$I$14</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Gráficos!$A$15:$A$17</c:f>
              <c:numCache>
                <c:formatCode>General</c:formatCode>
                <c:ptCount val="3"/>
                <c:pt idx="0">
                  <c:v>-1</c:v>
                </c:pt>
                <c:pt idx="1">
                  <c:v>0</c:v>
                </c:pt>
                <c:pt idx="2">
                  <c:v>1</c:v>
                </c:pt>
              </c:numCache>
            </c:numRef>
          </c:cat>
          <c:val>
            <c:numRef>
              <c:f>Gráficos!$I$15:$I$17</c:f>
              <c:numCache>
                <c:formatCode>0.00%</c:formatCode>
                <c:ptCount val="3"/>
                <c:pt idx="0">
                  <c:v>5.7691283493995389E-3</c:v>
                </c:pt>
                <c:pt idx="1">
                  <c:v>5.9463167349695653E-3</c:v>
                </c:pt>
                <c:pt idx="2">
                  <c:v>6.0358762616933553E-3</c:v>
                </c:pt>
              </c:numCache>
            </c:numRef>
          </c:val>
          <c:smooth val="0"/>
          <c:extLst>
            <c:ext xmlns:c16="http://schemas.microsoft.com/office/drawing/2014/chart" uri="{C3380CC4-5D6E-409C-BE32-E72D297353CC}">
              <c16:uniqueId val="{00000001-65CA-49C1-AC27-21A90C1E7E65}"/>
            </c:ext>
          </c:extLst>
        </c:ser>
        <c:ser>
          <c:idx val="2"/>
          <c:order val="2"/>
          <c:tx>
            <c:strRef>
              <c:f>Gráficos!$J$14</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Gráficos!$A$15:$A$17</c:f>
              <c:numCache>
                <c:formatCode>General</c:formatCode>
                <c:ptCount val="3"/>
                <c:pt idx="0">
                  <c:v>-1</c:v>
                </c:pt>
                <c:pt idx="1">
                  <c:v>0</c:v>
                </c:pt>
                <c:pt idx="2">
                  <c:v>1</c:v>
                </c:pt>
              </c:numCache>
            </c:numRef>
          </c:cat>
          <c:val>
            <c:numRef>
              <c:f>Gráficos!$J$15:$J$17</c:f>
              <c:numCache>
                <c:formatCode>0.00%</c:formatCode>
                <c:ptCount val="3"/>
                <c:pt idx="0">
                  <c:v>3.288534514463406E-3</c:v>
                </c:pt>
                <c:pt idx="1">
                  <c:v>5.9463167349695653E-3</c:v>
                </c:pt>
                <c:pt idx="2">
                  <c:v>1.034705207318112E-2</c:v>
                </c:pt>
              </c:numCache>
            </c:numRef>
          </c:val>
          <c:smooth val="0"/>
          <c:extLst>
            <c:ext xmlns:c16="http://schemas.microsoft.com/office/drawing/2014/chart" uri="{C3380CC4-5D6E-409C-BE32-E72D297353CC}">
              <c16:uniqueId val="{00000002-65CA-49C1-AC27-21A90C1E7E65}"/>
            </c:ext>
          </c:extLst>
        </c:ser>
        <c:dLbls>
          <c:showLegendKey val="0"/>
          <c:showVal val="0"/>
          <c:showCatName val="0"/>
          <c:showSerName val="0"/>
          <c:showPercent val="0"/>
          <c:showBubbleSize val="0"/>
        </c:dLbls>
        <c:marker val="1"/>
        <c:smooth val="0"/>
        <c:axId val="105256112"/>
        <c:axId val="105256592"/>
      </c:lineChart>
      <c:catAx>
        <c:axId val="1052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592"/>
        <c:crosses val="autoZero"/>
        <c:auto val="1"/>
        <c:lblAlgn val="ctr"/>
        <c:lblOffset val="100"/>
        <c:noMultiLvlLbl val="0"/>
      </c:catAx>
      <c:valAx>
        <c:axId val="105256592"/>
        <c:scaling>
          <c:orientation val="minMax"/>
          <c:max val="1.8000000000000002E-2"/>
          <c:min val="3.0000000000000009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Recuperación lenta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Gráficos!$B$8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Gráficos!$A$21:$A$23</c:f>
              <c:numCache>
                <c:formatCode>General</c:formatCode>
                <c:ptCount val="3"/>
                <c:pt idx="0">
                  <c:v>-1</c:v>
                </c:pt>
                <c:pt idx="1">
                  <c:v>0</c:v>
                </c:pt>
                <c:pt idx="2">
                  <c:v>1</c:v>
                </c:pt>
              </c:numCache>
            </c:numRef>
          </c:cat>
          <c:val>
            <c:numRef>
              <c:f>Gráficos!$B$21:$B$23</c:f>
              <c:numCache>
                <c:formatCode>_ "$"* #,##0.000_ ;_ "$"* \-#,##0.000_ ;_ "$"* "-"_ ;_ @_ </c:formatCode>
                <c:ptCount val="3"/>
                <c:pt idx="0">
                  <c:v>0.17750043280504768</c:v>
                </c:pt>
                <c:pt idx="1">
                  <c:v>0.19289822624979583</c:v>
                </c:pt>
                <c:pt idx="2">
                  <c:v>0.20662596527104757</c:v>
                </c:pt>
              </c:numCache>
            </c:numRef>
          </c:val>
          <c:smooth val="0"/>
          <c:extLst>
            <c:ext xmlns:c16="http://schemas.microsoft.com/office/drawing/2014/chart" uri="{C3380CC4-5D6E-409C-BE32-E72D297353CC}">
              <c16:uniqueId val="{00000000-AA89-4F25-A18A-E574B9FD2D88}"/>
            </c:ext>
          </c:extLst>
        </c:ser>
        <c:ser>
          <c:idx val="1"/>
          <c:order val="1"/>
          <c:tx>
            <c:strRef>
              <c:f>Gráficos!$C$8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Gráficos!$A$21:$A$23</c:f>
              <c:numCache>
                <c:formatCode>General</c:formatCode>
                <c:ptCount val="3"/>
                <c:pt idx="0">
                  <c:v>-1</c:v>
                </c:pt>
                <c:pt idx="1">
                  <c:v>0</c:v>
                </c:pt>
                <c:pt idx="2">
                  <c:v>1</c:v>
                </c:pt>
              </c:numCache>
            </c:numRef>
          </c:cat>
          <c:val>
            <c:numRef>
              <c:f>Gráficos!$C$21:$C$23</c:f>
              <c:numCache>
                <c:formatCode>_ "$"* #,##0.000_ ;_ "$"* \-#,##0.000_ ;_ "$"* "-"_ ;_ @_ </c:formatCode>
                <c:ptCount val="3"/>
                <c:pt idx="0">
                  <c:v>0.1861413315034553</c:v>
                </c:pt>
                <c:pt idx="1">
                  <c:v>0.19289822624979583</c:v>
                </c:pt>
                <c:pt idx="2">
                  <c:v>0.20227731716158209</c:v>
                </c:pt>
              </c:numCache>
            </c:numRef>
          </c:val>
          <c:smooth val="0"/>
          <c:extLst>
            <c:ext xmlns:c16="http://schemas.microsoft.com/office/drawing/2014/chart" uri="{C3380CC4-5D6E-409C-BE32-E72D297353CC}">
              <c16:uniqueId val="{00000001-AA89-4F25-A18A-E574B9FD2D88}"/>
            </c:ext>
          </c:extLst>
        </c:ser>
        <c:ser>
          <c:idx val="2"/>
          <c:order val="2"/>
          <c:tx>
            <c:strRef>
              <c:f>Gráficos!$D$8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Gráficos!$A$21:$A$23</c:f>
              <c:numCache>
                <c:formatCode>General</c:formatCode>
                <c:ptCount val="3"/>
                <c:pt idx="0">
                  <c:v>-1</c:v>
                </c:pt>
                <c:pt idx="1">
                  <c:v>0</c:v>
                </c:pt>
                <c:pt idx="2">
                  <c:v>1</c:v>
                </c:pt>
              </c:numCache>
            </c:numRef>
          </c:cat>
          <c:val>
            <c:numRef>
              <c:f>Gráficos!$D$21:$D$23</c:f>
              <c:numCache>
                <c:formatCode>_ "$"* #,##0.000_ ;_ "$"* \-#,##0.000_ ;_ "$"* "-"_ ;_ @_ </c:formatCode>
                <c:ptCount val="3"/>
                <c:pt idx="0">
                  <c:v>0.18944010602772607</c:v>
                </c:pt>
                <c:pt idx="1">
                  <c:v>0.19289822624979583</c:v>
                </c:pt>
                <c:pt idx="2">
                  <c:v>0.20491647333763041</c:v>
                </c:pt>
              </c:numCache>
            </c:numRef>
          </c:val>
          <c:smooth val="0"/>
          <c:extLst>
            <c:ext xmlns:c16="http://schemas.microsoft.com/office/drawing/2014/chart" uri="{C3380CC4-5D6E-409C-BE32-E72D297353CC}">
              <c16:uniqueId val="{00000002-AA89-4F25-A18A-E574B9FD2D88}"/>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0.4"/>
          <c:min val="4.0000000000000008E-2"/>
        </c:scaling>
        <c:delete val="0"/>
        <c:axPos val="l"/>
        <c:majorGridlines>
          <c:spPr>
            <a:ln w="9525" cap="flat" cmpd="sng" algn="ctr">
              <a:solidFill>
                <a:schemeClr val="tx1">
                  <a:lumMod val="15000"/>
                  <a:lumOff val="85000"/>
                </a:schemeClr>
              </a:solidFill>
              <a:round/>
            </a:ln>
            <a:effectLst/>
          </c:spPr>
        </c:majorGridlines>
        <c:numFmt formatCode="_ &quot;$&quot;* #,##0.000_ ;_ &quot;$&quot;* \-#,##0.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Carbono neutralidad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Gráficos!$E$8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Gráficos!$A$21:$A$23</c:f>
              <c:numCache>
                <c:formatCode>General</c:formatCode>
                <c:ptCount val="3"/>
                <c:pt idx="0">
                  <c:v>-1</c:v>
                </c:pt>
                <c:pt idx="1">
                  <c:v>0</c:v>
                </c:pt>
                <c:pt idx="2">
                  <c:v>1</c:v>
                </c:pt>
              </c:numCache>
            </c:numRef>
          </c:cat>
          <c:val>
            <c:numRef>
              <c:f>Gráficos!$E$21:$E$23</c:f>
              <c:numCache>
                <c:formatCode>_ "$"* #,##0.000_ ;_ "$"* \-#,##0.000_ ;_ "$"* "-"_ ;_ @_ </c:formatCode>
                <c:ptCount val="3"/>
                <c:pt idx="0">
                  <c:v>0.12338593974174687</c:v>
                </c:pt>
                <c:pt idx="1">
                  <c:v>0.16720434786303889</c:v>
                </c:pt>
                <c:pt idx="2">
                  <c:v>0.22399287080963262</c:v>
                </c:pt>
              </c:numCache>
            </c:numRef>
          </c:val>
          <c:smooth val="0"/>
          <c:extLst>
            <c:ext xmlns:c16="http://schemas.microsoft.com/office/drawing/2014/chart" uri="{C3380CC4-5D6E-409C-BE32-E72D297353CC}">
              <c16:uniqueId val="{00000000-EBAC-4D1C-AACD-28E907E0D201}"/>
            </c:ext>
          </c:extLst>
        </c:ser>
        <c:ser>
          <c:idx val="1"/>
          <c:order val="1"/>
          <c:tx>
            <c:strRef>
              <c:f>Gráficos!$F$8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Gráficos!$A$21:$A$23</c:f>
              <c:numCache>
                <c:formatCode>General</c:formatCode>
                <c:ptCount val="3"/>
                <c:pt idx="0">
                  <c:v>-1</c:v>
                </c:pt>
                <c:pt idx="1">
                  <c:v>0</c:v>
                </c:pt>
                <c:pt idx="2">
                  <c:v>1</c:v>
                </c:pt>
              </c:numCache>
            </c:numRef>
          </c:cat>
          <c:val>
            <c:numRef>
              <c:f>Gráficos!$F$21:$F$23</c:f>
              <c:numCache>
                <c:formatCode>_ "$"* #,##0.000_ ;_ "$"* \-#,##0.000_ ;_ "$"* "-"_ ;_ @_ </c:formatCode>
                <c:ptCount val="3"/>
                <c:pt idx="0">
                  <c:v>0.15661433734025043</c:v>
                </c:pt>
                <c:pt idx="1">
                  <c:v>0.16720434786303889</c:v>
                </c:pt>
                <c:pt idx="2">
                  <c:v>0.17567698839448601</c:v>
                </c:pt>
              </c:numCache>
            </c:numRef>
          </c:val>
          <c:smooth val="0"/>
          <c:extLst>
            <c:ext xmlns:c16="http://schemas.microsoft.com/office/drawing/2014/chart" uri="{C3380CC4-5D6E-409C-BE32-E72D297353CC}">
              <c16:uniqueId val="{00000001-EBAC-4D1C-AACD-28E907E0D201}"/>
            </c:ext>
          </c:extLst>
        </c:ser>
        <c:ser>
          <c:idx val="2"/>
          <c:order val="2"/>
          <c:tx>
            <c:strRef>
              <c:f>Gráficos!$G$8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Gráficos!$A$21:$A$23</c:f>
              <c:numCache>
                <c:formatCode>General</c:formatCode>
                <c:ptCount val="3"/>
                <c:pt idx="0">
                  <c:v>-1</c:v>
                </c:pt>
                <c:pt idx="1">
                  <c:v>0</c:v>
                </c:pt>
                <c:pt idx="2">
                  <c:v>1</c:v>
                </c:pt>
              </c:numCache>
            </c:numRef>
          </c:cat>
          <c:val>
            <c:numRef>
              <c:f>Gráficos!$G$21:$G$23</c:f>
              <c:numCache>
                <c:formatCode>_ "$"* #,##0.000_ ;_ "$"* \-#,##0.000_ ;_ "$"* "-"_ ;_ @_ </c:formatCode>
                <c:ptCount val="3"/>
                <c:pt idx="0">
                  <c:v>8.2078535577205639E-2</c:v>
                </c:pt>
                <c:pt idx="1">
                  <c:v>0.16720434786303889</c:v>
                </c:pt>
                <c:pt idx="2">
                  <c:v>0.33953396554473364</c:v>
                </c:pt>
              </c:numCache>
            </c:numRef>
          </c:val>
          <c:smooth val="0"/>
          <c:extLst>
            <c:ext xmlns:c16="http://schemas.microsoft.com/office/drawing/2014/chart" uri="{C3380CC4-5D6E-409C-BE32-E72D297353CC}">
              <c16:uniqueId val="{00000002-EBAC-4D1C-AACD-28E907E0D201}"/>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0.4"/>
          <c:min val="4.0000000000000008E-2"/>
        </c:scaling>
        <c:delete val="0"/>
        <c:axPos val="l"/>
        <c:majorGridlines>
          <c:spPr>
            <a:ln w="9525" cap="flat" cmpd="sng" algn="ctr">
              <a:solidFill>
                <a:schemeClr val="tx1">
                  <a:lumMod val="15000"/>
                  <a:lumOff val="85000"/>
                </a:schemeClr>
              </a:solidFill>
              <a:round/>
            </a:ln>
            <a:effectLst/>
          </c:spPr>
        </c:majorGridlines>
        <c:numFmt formatCode="_ &quot;$&quot;* #,##0.000_ ;_ &quot;$&quot;* \-#,##0.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Transición acelerada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Gráficos!$H$8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Gráficos!$A$21:$A$23</c:f>
              <c:numCache>
                <c:formatCode>General</c:formatCode>
                <c:ptCount val="3"/>
                <c:pt idx="0">
                  <c:v>-1</c:v>
                </c:pt>
                <c:pt idx="1">
                  <c:v>0</c:v>
                </c:pt>
                <c:pt idx="2">
                  <c:v>1</c:v>
                </c:pt>
              </c:numCache>
            </c:numRef>
          </c:cat>
          <c:val>
            <c:numRef>
              <c:f>Gráficos!$H$21:$H$23</c:f>
              <c:numCache>
                <c:formatCode>_ "$"* #,##0.000_ ;_ "$"* \-#,##0.000_ ;_ "$"* "-"_ ;_ @_ </c:formatCode>
                <c:ptCount val="3"/>
                <c:pt idx="0">
                  <c:v>0.10225365191614025</c:v>
                </c:pt>
                <c:pt idx="1">
                  <c:v>0.12235446257633566</c:v>
                </c:pt>
                <c:pt idx="2">
                  <c:v>0.15118669498625814</c:v>
                </c:pt>
              </c:numCache>
            </c:numRef>
          </c:val>
          <c:smooth val="0"/>
          <c:extLst>
            <c:ext xmlns:c16="http://schemas.microsoft.com/office/drawing/2014/chart" uri="{C3380CC4-5D6E-409C-BE32-E72D297353CC}">
              <c16:uniqueId val="{00000000-7CEC-4D11-995B-3109EC59AB80}"/>
            </c:ext>
          </c:extLst>
        </c:ser>
        <c:ser>
          <c:idx val="1"/>
          <c:order val="1"/>
          <c:tx>
            <c:strRef>
              <c:f>Gráficos!$I$8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Gráficos!$A$21:$A$23</c:f>
              <c:numCache>
                <c:formatCode>General</c:formatCode>
                <c:ptCount val="3"/>
                <c:pt idx="0">
                  <c:v>-1</c:v>
                </c:pt>
                <c:pt idx="1">
                  <c:v>0</c:v>
                </c:pt>
                <c:pt idx="2">
                  <c:v>1</c:v>
                </c:pt>
              </c:numCache>
            </c:numRef>
          </c:cat>
          <c:val>
            <c:numRef>
              <c:f>Gráficos!$I$21:$I$23</c:f>
              <c:numCache>
                <c:formatCode>_ "$"* #,##0.000_ ;_ "$"* \-#,##0.000_ ;_ "$"* "-"_ ;_ @_ </c:formatCode>
                <c:ptCount val="3"/>
                <c:pt idx="0">
                  <c:v>0.12270589803144999</c:v>
                </c:pt>
                <c:pt idx="1">
                  <c:v>0.12235446257633566</c:v>
                </c:pt>
                <c:pt idx="2">
                  <c:v>0.12270631494235315</c:v>
                </c:pt>
              </c:numCache>
            </c:numRef>
          </c:val>
          <c:smooth val="0"/>
          <c:extLst>
            <c:ext xmlns:c16="http://schemas.microsoft.com/office/drawing/2014/chart" uri="{C3380CC4-5D6E-409C-BE32-E72D297353CC}">
              <c16:uniqueId val="{00000001-7CEC-4D11-995B-3109EC59AB80}"/>
            </c:ext>
          </c:extLst>
        </c:ser>
        <c:ser>
          <c:idx val="2"/>
          <c:order val="2"/>
          <c:tx>
            <c:strRef>
              <c:f>Gráficos!$J$8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Gráficos!$A$21:$A$23</c:f>
              <c:numCache>
                <c:formatCode>General</c:formatCode>
                <c:ptCount val="3"/>
                <c:pt idx="0">
                  <c:v>-1</c:v>
                </c:pt>
                <c:pt idx="1">
                  <c:v>0</c:v>
                </c:pt>
                <c:pt idx="2">
                  <c:v>1</c:v>
                </c:pt>
              </c:numCache>
            </c:numRef>
          </c:cat>
          <c:val>
            <c:numRef>
              <c:f>Gráficos!$J$21:$J$23</c:f>
              <c:numCache>
                <c:formatCode>_ "$"* #,##0.000_ ;_ "$"* \-#,##0.000_ ;_ "$"* "-"_ ;_ @_ </c:formatCode>
                <c:ptCount val="3"/>
                <c:pt idx="0">
                  <c:v>5.3194153293600638E-2</c:v>
                </c:pt>
                <c:pt idx="1">
                  <c:v>0.12235446257633566</c:v>
                </c:pt>
                <c:pt idx="2">
                  <c:v>0.31253005931705408</c:v>
                </c:pt>
              </c:numCache>
            </c:numRef>
          </c:val>
          <c:smooth val="0"/>
          <c:extLst>
            <c:ext xmlns:c16="http://schemas.microsoft.com/office/drawing/2014/chart" uri="{C3380CC4-5D6E-409C-BE32-E72D297353CC}">
              <c16:uniqueId val="{00000002-7CEC-4D11-995B-3109EC59AB80}"/>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0.4"/>
          <c:min val="4.0000000000000008E-2"/>
        </c:scaling>
        <c:delete val="0"/>
        <c:axPos val="l"/>
        <c:majorGridlines>
          <c:spPr>
            <a:ln w="9525" cap="flat" cmpd="sng" algn="ctr">
              <a:solidFill>
                <a:schemeClr val="tx1">
                  <a:lumMod val="15000"/>
                  <a:lumOff val="85000"/>
                </a:schemeClr>
              </a:solidFill>
              <a:round/>
            </a:ln>
            <a:effectLst/>
          </c:spPr>
        </c:majorGridlines>
        <c:numFmt formatCode="_ &quot;$&quot;* #,##0.000_ ;_ &quot;$&quot;* \-#,##0.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53340</xdr:colOff>
      <xdr:row>1</xdr:row>
      <xdr:rowOff>68580</xdr:rowOff>
    </xdr:from>
    <xdr:to>
      <xdr:col>17</xdr:col>
      <xdr:colOff>152400</xdr:colOff>
      <xdr:row>16</xdr:row>
      <xdr:rowOff>41910</xdr:rowOff>
    </xdr:to>
    <xdr:graphicFrame macro="">
      <xdr:nvGraphicFramePr>
        <xdr:cNvPr id="4" name="Gráfico 3">
          <a:extLst>
            <a:ext uri="{FF2B5EF4-FFF2-40B4-BE49-F238E27FC236}">
              <a16:creationId xmlns:a16="http://schemas.microsoft.com/office/drawing/2014/main" id="{6BA03727-856F-8135-B96A-21E7DF2CB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335280</xdr:colOff>
      <xdr:row>1</xdr:row>
      <xdr:rowOff>45720</xdr:rowOff>
    </xdr:from>
    <xdr:to>
      <xdr:col>23</xdr:col>
      <xdr:colOff>434340</xdr:colOff>
      <xdr:row>16</xdr:row>
      <xdr:rowOff>19050</xdr:rowOff>
    </xdr:to>
    <xdr:graphicFrame macro="">
      <xdr:nvGraphicFramePr>
        <xdr:cNvPr id="5" name="Gráfico 4">
          <a:extLst>
            <a:ext uri="{FF2B5EF4-FFF2-40B4-BE49-F238E27FC236}">
              <a16:creationId xmlns:a16="http://schemas.microsoft.com/office/drawing/2014/main" id="{8AD515A3-708F-44FA-A0F4-9F2E35AB3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548640</xdr:colOff>
      <xdr:row>1</xdr:row>
      <xdr:rowOff>45720</xdr:rowOff>
    </xdr:from>
    <xdr:to>
      <xdr:col>29</xdr:col>
      <xdr:colOff>647700</xdr:colOff>
      <xdr:row>16</xdr:row>
      <xdr:rowOff>19050</xdr:rowOff>
    </xdr:to>
    <xdr:graphicFrame macro="">
      <xdr:nvGraphicFramePr>
        <xdr:cNvPr id="6" name="Gráfico 5">
          <a:extLst>
            <a:ext uri="{FF2B5EF4-FFF2-40B4-BE49-F238E27FC236}">
              <a16:creationId xmlns:a16="http://schemas.microsoft.com/office/drawing/2014/main" id="{E58A44B2-B6A3-4818-AB14-24CF895D6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xdr:colOff>
      <xdr:row>16</xdr:row>
      <xdr:rowOff>110490</xdr:rowOff>
    </xdr:from>
    <xdr:to>
      <xdr:col>16</xdr:col>
      <xdr:colOff>662940</xdr:colOff>
      <xdr:row>31</xdr:row>
      <xdr:rowOff>110490</xdr:rowOff>
    </xdr:to>
    <xdr:graphicFrame macro="">
      <xdr:nvGraphicFramePr>
        <xdr:cNvPr id="8" name="Gráfico 7">
          <a:extLst>
            <a:ext uri="{FF2B5EF4-FFF2-40B4-BE49-F238E27FC236}">
              <a16:creationId xmlns:a16="http://schemas.microsoft.com/office/drawing/2014/main" id="{3CC77F9B-5AF1-286F-F791-8815700EC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17</xdr:row>
      <xdr:rowOff>38100</xdr:rowOff>
    </xdr:from>
    <xdr:to>
      <xdr:col>22</xdr:col>
      <xdr:colOff>609600</xdr:colOff>
      <xdr:row>32</xdr:row>
      <xdr:rowOff>38100</xdr:rowOff>
    </xdr:to>
    <xdr:graphicFrame macro="">
      <xdr:nvGraphicFramePr>
        <xdr:cNvPr id="9" name="Gráfico 8">
          <a:extLst>
            <a:ext uri="{FF2B5EF4-FFF2-40B4-BE49-F238E27FC236}">
              <a16:creationId xmlns:a16="http://schemas.microsoft.com/office/drawing/2014/main" id="{73584988-D968-4B14-8B92-508D55F6F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17</xdr:row>
      <xdr:rowOff>0</xdr:rowOff>
    </xdr:from>
    <xdr:to>
      <xdr:col>28</xdr:col>
      <xdr:colOff>609600</xdr:colOff>
      <xdr:row>32</xdr:row>
      <xdr:rowOff>0</xdr:rowOff>
    </xdr:to>
    <xdr:graphicFrame macro="">
      <xdr:nvGraphicFramePr>
        <xdr:cNvPr id="10" name="Gráfico 9">
          <a:extLst>
            <a:ext uri="{FF2B5EF4-FFF2-40B4-BE49-F238E27FC236}">
              <a16:creationId xmlns:a16="http://schemas.microsoft.com/office/drawing/2014/main" id="{4B639262-D74C-4AE5-993D-18CE453B9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571500</xdr:colOff>
      <xdr:row>33</xdr:row>
      <xdr:rowOff>144780</xdr:rowOff>
    </xdr:from>
    <xdr:to>
      <xdr:col>16</xdr:col>
      <xdr:colOff>670560</xdr:colOff>
      <xdr:row>48</xdr:row>
      <xdr:rowOff>118110</xdr:rowOff>
    </xdr:to>
    <xdr:graphicFrame macro="">
      <xdr:nvGraphicFramePr>
        <xdr:cNvPr id="11" name="Gráfico 10">
          <a:extLst>
            <a:ext uri="{FF2B5EF4-FFF2-40B4-BE49-F238E27FC236}">
              <a16:creationId xmlns:a16="http://schemas.microsoft.com/office/drawing/2014/main" id="{0327A5B0-A8E7-49E4-93E6-AB0E46010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769620</xdr:colOff>
      <xdr:row>33</xdr:row>
      <xdr:rowOff>152400</xdr:rowOff>
    </xdr:from>
    <xdr:to>
      <xdr:col>23</xdr:col>
      <xdr:colOff>76200</xdr:colOff>
      <xdr:row>48</xdr:row>
      <xdr:rowOff>125730</xdr:rowOff>
    </xdr:to>
    <xdr:graphicFrame macro="">
      <xdr:nvGraphicFramePr>
        <xdr:cNvPr id="12" name="Gráfico 11">
          <a:extLst>
            <a:ext uri="{FF2B5EF4-FFF2-40B4-BE49-F238E27FC236}">
              <a16:creationId xmlns:a16="http://schemas.microsoft.com/office/drawing/2014/main" id="{0120974C-D970-4884-90B4-7222894D6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228600</xdr:colOff>
      <xdr:row>33</xdr:row>
      <xdr:rowOff>167640</xdr:rowOff>
    </xdr:from>
    <xdr:to>
      <xdr:col>29</xdr:col>
      <xdr:colOff>327660</xdr:colOff>
      <xdr:row>48</xdr:row>
      <xdr:rowOff>140970</xdr:rowOff>
    </xdr:to>
    <xdr:graphicFrame macro="">
      <xdr:nvGraphicFramePr>
        <xdr:cNvPr id="13" name="Gráfico 12">
          <a:extLst>
            <a:ext uri="{FF2B5EF4-FFF2-40B4-BE49-F238E27FC236}">
              <a16:creationId xmlns:a16="http://schemas.microsoft.com/office/drawing/2014/main" id="{2207807B-A915-49FD-B445-4E79030E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BD83-3B90-4F98-8D5B-753E2A366AAF}">
  <dimension ref="A1:M23"/>
  <sheetViews>
    <sheetView workbookViewId="0">
      <selection activeCell="X52" sqref="X52"/>
    </sheetView>
  </sheetViews>
  <sheetFormatPr baseColWidth="10" defaultRowHeight="14.4" x14ac:dyDescent="0.3"/>
  <cols>
    <col min="1" max="1" width="12.88671875" bestFit="1" customWidth="1"/>
    <col min="5" max="5" width="12.88671875" bestFit="1" customWidth="1"/>
  </cols>
  <sheetData>
    <row r="1" spans="1:13" x14ac:dyDescent="0.3">
      <c r="A1" t="s">
        <v>81</v>
      </c>
      <c r="E1" s="54"/>
      <c r="F1" s="54"/>
      <c r="G1" s="54"/>
      <c r="H1" s="54"/>
      <c r="I1" s="54"/>
      <c r="J1" s="54"/>
      <c r="K1" s="54"/>
      <c r="L1" s="54"/>
      <c r="M1" s="54"/>
    </row>
    <row r="2" spans="1:13" x14ac:dyDescent="0.3">
      <c r="A2" t="s">
        <v>82</v>
      </c>
      <c r="B2" t="s">
        <v>83</v>
      </c>
      <c r="C2" t="s">
        <v>84</v>
      </c>
      <c r="D2" t="s">
        <v>85</v>
      </c>
    </row>
    <row r="3" spans="1:13" x14ac:dyDescent="0.3">
      <c r="A3">
        <v>-5</v>
      </c>
      <c r="B3">
        <v>-5</v>
      </c>
      <c r="C3">
        <v>2029</v>
      </c>
      <c r="D3">
        <v>-1</v>
      </c>
      <c r="E3" s="50"/>
      <c r="F3" s="49"/>
      <c r="G3" s="51"/>
    </row>
    <row r="4" spans="1:13" x14ac:dyDescent="0.3">
      <c r="A4">
        <v>0</v>
      </c>
      <c r="B4">
        <v>0</v>
      </c>
      <c r="C4">
        <v>2031</v>
      </c>
      <c r="D4">
        <v>0</v>
      </c>
      <c r="E4" s="50"/>
      <c r="F4" s="49"/>
      <c r="G4" s="51"/>
    </row>
    <row r="5" spans="1:13" x14ac:dyDescent="0.3">
      <c r="A5">
        <v>5</v>
      </c>
      <c r="B5">
        <v>5</v>
      </c>
      <c r="C5">
        <v>2033</v>
      </c>
      <c r="D5">
        <v>1</v>
      </c>
      <c r="E5" s="50"/>
      <c r="F5" s="49"/>
      <c r="G5" s="51"/>
    </row>
    <row r="7" spans="1:13" x14ac:dyDescent="0.3">
      <c r="A7" t="s">
        <v>86</v>
      </c>
      <c r="B7" s="54" t="s">
        <v>87</v>
      </c>
      <c r="C7" s="54"/>
      <c r="D7" s="54"/>
      <c r="E7" s="54" t="s">
        <v>88</v>
      </c>
      <c r="F7" s="54"/>
      <c r="G7" s="54"/>
      <c r="H7" s="54" t="s">
        <v>89</v>
      </c>
      <c r="I7" s="54"/>
      <c r="J7" s="54"/>
    </row>
    <row r="8" spans="1:13" x14ac:dyDescent="0.3">
      <c r="A8" t="s">
        <v>85</v>
      </c>
      <c r="B8" t="s">
        <v>82</v>
      </c>
      <c r="C8" t="s">
        <v>83</v>
      </c>
      <c r="D8" t="s">
        <v>84</v>
      </c>
      <c r="E8" t="s">
        <v>82</v>
      </c>
      <c r="F8" t="s">
        <v>83</v>
      </c>
      <c r="G8" t="s">
        <v>84</v>
      </c>
      <c r="H8" t="s">
        <v>82</v>
      </c>
      <c r="I8" t="s">
        <v>83</v>
      </c>
      <c r="J8" t="s">
        <v>84</v>
      </c>
    </row>
    <row r="9" spans="1:13" x14ac:dyDescent="0.3">
      <c r="A9">
        <v>-1</v>
      </c>
      <c r="B9" s="50">
        <f>Costos_BESS_D5!E8</f>
        <v>3176.95</v>
      </c>
      <c r="C9" s="50">
        <f>Costos_GNL_D5!E8</f>
        <v>3002.02</v>
      </c>
      <c r="D9" s="50">
        <f>PSP_2033!E8</f>
        <v>3078.44</v>
      </c>
      <c r="E9" s="50">
        <f>Costos_BESS_D5!H8</f>
        <v>2340.9899999999998</v>
      </c>
      <c r="F9" s="50">
        <f>Costos_GNL_D5!H8</f>
        <v>2484.4699999999998</v>
      </c>
      <c r="G9" s="50">
        <f>PSP_2033!H8</f>
        <v>1999.93</v>
      </c>
      <c r="H9" s="50">
        <f>Costos_BESS_D5!K8</f>
        <v>2148.3200000000002</v>
      </c>
      <c r="I9" s="50">
        <f>Costos_GNL_D5!K8</f>
        <v>2243.48</v>
      </c>
      <c r="J9" s="50">
        <f>PSP_2033!K8</f>
        <v>1603.41</v>
      </c>
    </row>
    <row r="10" spans="1:13" x14ac:dyDescent="0.3">
      <c r="A10">
        <v>0</v>
      </c>
      <c r="B10" s="50">
        <f>CasoBase!E8</f>
        <v>3277.13</v>
      </c>
      <c r="C10" s="50">
        <f>CasoBase!E8</f>
        <v>3277.13</v>
      </c>
      <c r="D10" s="50">
        <f>CasoBase!E8</f>
        <v>3277.13</v>
      </c>
      <c r="E10" s="50">
        <f>CasoBase!H8</f>
        <v>2557.88</v>
      </c>
      <c r="F10" s="50">
        <f>CasoBase!H8</f>
        <v>2557.88</v>
      </c>
      <c r="G10" s="50">
        <f>CasoBase!H8</f>
        <v>2557.88</v>
      </c>
      <c r="H10" s="50">
        <f>CasoBase!K8</f>
        <v>2267.36</v>
      </c>
      <c r="I10" s="50">
        <f>CasoBase!K8</f>
        <v>2267.36</v>
      </c>
      <c r="J10" s="50">
        <f>CasoBase!K8</f>
        <v>2267.36</v>
      </c>
    </row>
    <row r="11" spans="1:13" x14ac:dyDescent="0.3">
      <c r="A11">
        <v>1</v>
      </c>
      <c r="B11" s="50">
        <f>Costos_BESS_A5!E8</f>
        <v>3364.34</v>
      </c>
      <c r="C11" s="50">
        <f>Costos_GNL_A5!E8</f>
        <v>3476.02</v>
      </c>
      <c r="D11" s="50">
        <f>PSP_2029!E8</f>
        <v>3521.63</v>
      </c>
      <c r="E11" s="50">
        <f>Costos_BESS_A5!H8</f>
        <v>2727.37</v>
      </c>
      <c r="F11" s="50">
        <f>Costos_GNL_A5!H8</f>
        <v>2600.14</v>
      </c>
      <c r="G11" s="50">
        <f>PSP_2029!H8</f>
        <v>3186.73</v>
      </c>
      <c r="H11" s="50">
        <f>Costos_BESS_A5!K8</f>
        <v>2421.4299999999998</v>
      </c>
      <c r="I11" s="50">
        <f>Costos_GNL_A5!K8</f>
        <v>2249.5700000000002</v>
      </c>
      <c r="J11" s="50">
        <f>PSP_2029!K8</f>
        <v>3121.78</v>
      </c>
    </row>
    <row r="13" spans="1:13" x14ac:dyDescent="0.3">
      <c r="A13" t="s">
        <v>90</v>
      </c>
      <c r="B13" s="54" t="s">
        <v>87</v>
      </c>
      <c r="C13" s="54"/>
      <c r="D13" s="54"/>
      <c r="E13" s="54" t="s">
        <v>88</v>
      </c>
      <c r="F13" s="54"/>
      <c r="G13" s="54"/>
      <c r="H13" s="54" t="s">
        <v>89</v>
      </c>
      <c r="I13" s="54"/>
      <c r="J13" s="54"/>
    </row>
    <row r="14" spans="1:13" x14ac:dyDescent="0.3">
      <c r="A14" t="s">
        <v>85</v>
      </c>
      <c r="B14" t="s">
        <v>82</v>
      </c>
      <c r="C14" t="s">
        <v>83</v>
      </c>
      <c r="D14" t="s">
        <v>84</v>
      </c>
      <c r="E14" t="s">
        <v>82</v>
      </c>
      <c r="F14" t="s">
        <v>83</v>
      </c>
      <c r="G14" t="s">
        <v>84</v>
      </c>
      <c r="H14" t="s">
        <v>82</v>
      </c>
      <c r="I14" t="s">
        <v>83</v>
      </c>
      <c r="J14" t="s">
        <v>84</v>
      </c>
    </row>
    <row r="15" spans="1:13" x14ac:dyDescent="0.3">
      <c r="A15">
        <v>-1</v>
      </c>
      <c r="B15" s="52">
        <f>-Costos_BESS_D5!F15</f>
        <v>1.3090996715817498E-2</v>
      </c>
      <c r="C15" s="52">
        <f>-Costos_GNL_D5!F15</f>
        <v>1.316383676371273E-2</v>
      </c>
      <c r="D15" s="52">
        <f>-PSP_2033!F15</f>
        <v>1.3513551090019118E-2</v>
      </c>
      <c r="E15" s="52">
        <f>-Costos_BESS_D5!I15</f>
        <v>5.1002944014727014E-3</v>
      </c>
      <c r="F15" s="52">
        <f>-Costos_GNL_D5!I15</f>
        <v>5.8258284475293173E-3</v>
      </c>
      <c r="G15" s="52">
        <f>-PSP_2033!I15</f>
        <v>3.8741632332689444E-3</v>
      </c>
      <c r="H15" s="52">
        <f>-Costos_BESS_D5!L15</f>
        <v>5.0756662975447791E-3</v>
      </c>
      <c r="I15" s="52">
        <f>-Costos_GNL_D5!L15</f>
        <v>5.7691283493995389E-3</v>
      </c>
      <c r="J15" s="52">
        <f>-PSP_2033!L15</f>
        <v>3.288534514463406E-3</v>
      </c>
    </row>
    <row r="16" spans="1:13" x14ac:dyDescent="0.3">
      <c r="A16">
        <v>0</v>
      </c>
      <c r="B16" s="52">
        <f>-CasoBase!F15</f>
        <v>1.4648352091752408E-2</v>
      </c>
      <c r="C16" s="52">
        <f>-CasoBase!F15</f>
        <v>1.4648352091752408E-2</v>
      </c>
      <c r="D16" s="52">
        <f>-CasoBase!F15</f>
        <v>1.4648352091752408E-2</v>
      </c>
      <c r="E16" s="52">
        <f>-CasoBase!I15</f>
        <v>6.1582185328220096E-3</v>
      </c>
      <c r="F16" s="52">
        <f>-CasoBase!I15</f>
        <v>6.1582185328220096E-3</v>
      </c>
      <c r="G16" s="52">
        <f>-CasoBase!I15</f>
        <v>6.1582185328220096E-3</v>
      </c>
      <c r="H16" s="52">
        <f>-CasoBase!L15</f>
        <v>5.9463167349695653E-3</v>
      </c>
      <c r="I16" s="52">
        <f>-CasoBase!L15</f>
        <v>5.9463167349695653E-3</v>
      </c>
      <c r="J16" s="52">
        <f>-CasoBase!L15</f>
        <v>5.9463167349695653E-3</v>
      </c>
    </row>
    <row r="17" spans="1:10" x14ac:dyDescent="0.3">
      <c r="A17">
        <v>1</v>
      </c>
      <c r="B17" s="52">
        <f>-Costos_BESS_A5!F15</f>
        <v>1.6082612751339903E-2</v>
      </c>
      <c r="C17" s="52">
        <f>-Costos_GNL_A5!F15</f>
        <v>1.6040278638018157E-2</v>
      </c>
      <c r="D17" s="52">
        <f>-PSP_2029!F15</f>
        <v>1.6721970932819206E-2</v>
      </c>
      <c r="E17" s="52">
        <f>-Costos_BESS_A5!I15</f>
        <v>7.3137188283329269E-3</v>
      </c>
      <c r="F17" s="52">
        <f>-Costos_GNL_A5!I15</f>
        <v>6.5107467346204118E-3</v>
      </c>
      <c r="G17" s="52">
        <f>-PSP_2029!I15</f>
        <v>9.5876428128698187E-3</v>
      </c>
      <c r="H17" s="52">
        <f>-Costos_BESS_A5!L15</f>
        <v>6.8502191363799788E-3</v>
      </c>
      <c r="I17" s="52">
        <f>-Costos_GNL_A5!L15</f>
        <v>6.0358762616933553E-3</v>
      </c>
      <c r="J17" s="52">
        <f>-PSP_2029!L15</f>
        <v>1.034705207318112E-2</v>
      </c>
    </row>
    <row r="19" spans="1:10" x14ac:dyDescent="0.3">
      <c r="A19" t="s">
        <v>91</v>
      </c>
      <c r="B19" s="54" t="s">
        <v>87</v>
      </c>
      <c r="C19" s="54"/>
      <c r="D19" s="54"/>
      <c r="E19" s="54" t="s">
        <v>88</v>
      </c>
      <c r="F19" s="54"/>
      <c r="G19" s="54"/>
      <c r="H19" s="54" t="s">
        <v>89</v>
      </c>
      <c r="I19" s="54"/>
      <c r="J19" s="54"/>
    </row>
    <row r="20" spans="1:10" x14ac:dyDescent="0.3">
      <c r="A20" t="s">
        <v>85</v>
      </c>
      <c r="B20" t="s">
        <v>82</v>
      </c>
      <c r="C20" t="s">
        <v>83</v>
      </c>
      <c r="D20" t="s">
        <v>84</v>
      </c>
      <c r="E20" t="s">
        <v>82</v>
      </c>
      <c r="F20" t="s">
        <v>83</v>
      </c>
      <c r="G20" t="s">
        <v>84</v>
      </c>
      <c r="H20" t="s">
        <v>82</v>
      </c>
      <c r="I20" t="s">
        <v>83</v>
      </c>
      <c r="J20" t="s">
        <v>84</v>
      </c>
    </row>
    <row r="21" spans="1:10" x14ac:dyDescent="0.3">
      <c r="A21">
        <v>-1</v>
      </c>
      <c r="B21" s="53">
        <f>Costos_BESS_D5!D21</f>
        <v>0.17750043280504768</v>
      </c>
      <c r="C21" s="53">
        <f>Costos_GNL_D5!D21</f>
        <v>0.1861413315034553</v>
      </c>
      <c r="D21" s="53">
        <f>PSP_2033!D21</f>
        <v>0.18944010602772607</v>
      </c>
      <c r="E21" s="53">
        <f>Costos_BESS_D5!G21</f>
        <v>0.12338593974174687</v>
      </c>
      <c r="F21" s="53">
        <f>Costos_GNL_D5!G21</f>
        <v>0.15661433734025043</v>
      </c>
      <c r="G21" s="53">
        <f>PSP_2033!G21</f>
        <v>8.2078535577205639E-2</v>
      </c>
      <c r="H21" s="53">
        <f>Costos_BESS_D5!J21</f>
        <v>0.10225365191614025</v>
      </c>
      <c r="I21" s="53">
        <f>Costos_GNL_D5!J21</f>
        <v>0.12270589803144999</v>
      </c>
      <c r="J21" s="53">
        <f>PSP_2033!J21</f>
        <v>5.3194153293600638E-2</v>
      </c>
    </row>
    <row r="22" spans="1:10" x14ac:dyDescent="0.3">
      <c r="A22">
        <v>0</v>
      </c>
      <c r="B22" s="53">
        <f>CasoBase!D21</f>
        <v>0.19289822624979583</v>
      </c>
      <c r="C22" s="53">
        <f>CasoBase!D21</f>
        <v>0.19289822624979583</v>
      </c>
      <c r="D22" s="53">
        <f>CasoBase!D21</f>
        <v>0.19289822624979583</v>
      </c>
      <c r="E22" s="53">
        <f>CasoBase!G21</f>
        <v>0.16720434786303889</v>
      </c>
      <c r="F22" s="53">
        <f>CasoBase!G21</f>
        <v>0.16720434786303889</v>
      </c>
      <c r="G22" s="53">
        <f>CasoBase!G21</f>
        <v>0.16720434786303889</v>
      </c>
      <c r="H22" s="53">
        <f>CasoBase!J21</f>
        <v>0.12235446257633566</v>
      </c>
      <c r="I22" s="53">
        <f>CasoBase!J21</f>
        <v>0.12235446257633566</v>
      </c>
      <c r="J22" s="53">
        <f>CasoBase!J21</f>
        <v>0.12235446257633566</v>
      </c>
    </row>
    <row r="23" spans="1:10" x14ac:dyDescent="0.3">
      <c r="A23">
        <v>1</v>
      </c>
      <c r="B23" s="53">
        <f>Costos_BESS_A5!D21</f>
        <v>0.20662596527104757</v>
      </c>
      <c r="C23" s="53">
        <f>Costos_GNL_A5!D21</f>
        <v>0.20227731716158209</v>
      </c>
      <c r="D23" s="53">
        <f>PSP_2029!D21</f>
        <v>0.20491647333763041</v>
      </c>
      <c r="E23" s="53">
        <f>Costos_BESS_A5!G21</f>
        <v>0.22399287080963262</v>
      </c>
      <c r="F23" s="53">
        <f>Costos_GNL_A5!G21</f>
        <v>0.17567698839448601</v>
      </c>
      <c r="G23" s="53">
        <f>PSP_2029!G21</f>
        <v>0.33953396554473364</v>
      </c>
      <c r="H23" s="53">
        <f>Costos_BESS_A5!J21</f>
        <v>0.15118669498625814</v>
      </c>
      <c r="I23" s="53">
        <f>Costos_GNL_A5!J21</f>
        <v>0.12270631494235315</v>
      </c>
      <c r="J23" s="53">
        <f>PSP_2029!J21</f>
        <v>0.31253005931705408</v>
      </c>
    </row>
  </sheetData>
  <mergeCells count="12">
    <mergeCell ref="E1:G1"/>
    <mergeCell ref="H1:J1"/>
    <mergeCell ref="K1:M1"/>
    <mergeCell ref="B7:D7"/>
    <mergeCell ref="E7:G7"/>
    <mergeCell ref="H7:J7"/>
    <mergeCell ref="B13:D13"/>
    <mergeCell ref="E13:G13"/>
    <mergeCell ref="H13:J13"/>
    <mergeCell ref="B19:D19"/>
    <mergeCell ref="E19:G19"/>
    <mergeCell ref="H19:J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C1B7-92C9-486D-9655-6402837360AE}">
  <dimension ref="B1:Q97"/>
  <sheetViews>
    <sheetView zoomScale="60" zoomScaleNormal="60" workbookViewId="0">
      <selection activeCell="E8" sqref="E8"/>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1" spans="2:17" ht="31.05" customHeight="1" x14ac:dyDescent="0.3">
      <c r="O1" s="3" t="s">
        <v>64</v>
      </c>
    </row>
    <row r="2" spans="2:17" ht="31.05" customHeight="1" x14ac:dyDescent="0.3">
      <c r="B2" s="76" t="s">
        <v>12</v>
      </c>
      <c r="C2" s="76"/>
      <c r="D2" s="73" t="s">
        <v>38</v>
      </c>
      <c r="E2" s="73"/>
      <c r="F2" s="73"/>
      <c r="G2" s="73" t="s">
        <v>39</v>
      </c>
      <c r="H2" s="73"/>
      <c r="I2" s="73"/>
      <c r="J2" s="73" t="s">
        <v>40</v>
      </c>
      <c r="K2" s="73"/>
      <c r="L2" s="73"/>
      <c r="O2" s="3">
        <v>-5</v>
      </c>
      <c r="P2" s="3">
        <v>0</v>
      </c>
      <c r="Q2" s="3">
        <v>5</v>
      </c>
    </row>
    <row r="3" spans="2:17" ht="31.05" customHeight="1" thickBot="1" x14ac:dyDescent="0.35">
      <c r="B3" s="77"/>
      <c r="C3" s="77"/>
      <c r="D3" s="34" t="s">
        <v>0</v>
      </c>
      <c r="E3" s="34" t="s">
        <v>1</v>
      </c>
      <c r="F3" s="35" t="s">
        <v>17</v>
      </c>
      <c r="G3" s="34" t="s">
        <v>0</v>
      </c>
      <c r="H3" s="34" t="s">
        <v>1</v>
      </c>
      <c r="I3" s="36" t="s">
        <v>17</v>
      </c>
      <c r="J3" s="34" t="s">
        <v>0</v>
      </c>
      <c r="K3" s="34" t="s">
        <v>1</v>
      </c>
      <c r="L3" s="35" t="s">
        <v>17</v>
      </c>
      <c r="N3" s="3" t="s">
        <v>63</v>
      </c>
    </row>
    <row r="4" spans="2:17" ht="31.05" customHeight="1" thickTop="1" x14ac:dyDescent="0.3">
      <c r="B4" s="74" t="s">
        <v>41</v>
      </c>
      <c r="C4" s="32" t="s">
        <v>42</v>
      </c>
      <c r="D4" s="33">
        <f>SUM(D5,D7:D9)</f>
        <v>20947.64</v>
      </c>
      <c r="E4" s="33">
        <f>SUM(E5,E7:E9)</f>
        <v>21956.66</v>
      </c>
      <c r="F4" s="45">
        <f>(E4-D4)/D4</f>
        <v>4.8168671984051684E-2</v>
      </c>
      <c r="G4" s="33">
        <f t="shared" ref="G4:J4" si="0">SUM(G5,G7:G9)</f>
        <v>28206.370000000003</v>
      </c>
      <c r="H4" s="33">
        <f t="shared" si="0"/>
        <v>28412.689999999995</v>
      </c>
      <c r="I4" s="45">
        <f>(H4-G4)/G4</f>
        <v>7.3146597736607867E-3</v>
      </c>
      <c r="J4" s="33">
        <f t="shared" si="0"/>
        <v>28709.919999999998</v>
      </c>
      <c r="K4" s="33">
        <f>SUM(K5,K7:K9)</f>
        <v>28554.15</v>
      </c>
      <c r="L4" s="45">
        <f>(K4-J4)/J4</f>
        <v>-5.4256507855123528E-3</v>
      </c>
      <c r="N4" s="3" t="s">
        <v>65</v>
      </c>
    </row>
    <row r="5" spans="2:17" ht="31.05" customHeight="1" x14ac:dyDescent="0.3">
      <c r="B5" s="74"/>
      <c r="C5" s="27" t="s">
        <v>13</v>
      </c>
      <c r="D5" s="7">
        <v>13414.36</v>
      </c>
      <c r="E5" s="7">
        <v>13369.52</v>
      </c>
      <c r="F5" s="45">
        <f t="shared" ref="F5:F13" si="1">(E5-D5)/D5</f>
        <v>-3.3426864941749099E-3</v>
      </c>
      <c r="G5" s="7">
        <v>13768.59</v>
      </c>
      <c r="H5" s="7">
        <v>13688.64</v>
      </c>
      <c r="I5" s="45">
        <f t="shared" ref="I5:I13" si="2">(H5-G5)/G5</f>
        <v>-5.8066948031716198E-3</v>
      </c>
      <c r="J5" s="7">
        <v>14016.45</v>
      </c>
      <c r="K5" s="7">
        <v>13937.29</v>
      </c>
      <c r="L5" s="45">
        <f t="shared" ref="L5:L13" si="3">(K5-J5)/J5</f>
        <v>-5.6476497258578203E-3</v>
      </c>
      <c r="N5" s="3" t="s">
        <v>66</v>
      </c>
    </row>
    <row r="6" spans="2:17" ht="31.05" hidden="1" customHeight="1" x14ac:dyDescent="0.3">
      <c r="B6" s="74"/>
      <c r="C6" s="27" t="s">
        <v>18</v>
      </c>
      <c r="D6" s="7" t="e">
        <f>#REF!</f>
        <v>#REF!</v>
      </c>
      <c r="E6" s="7" t="e">
        <f>#REF!</f>
        <v>#REF!</v>
      </c>
      <c r="F6" s="45" t="e">
        <f t="shared" si="1"/>
        <v>#REF!</v>
      </c>
      <c r="G6" s="7"/>
      <c r="H6" s="7" t="e">
        <f>#REF!</f>
        <v>#REF!</v>
      </c>
      <c r="I6" s="45" t="e">
        <f t="shared" si="2"/>
        <v>#REF!</v>
      </c>
      <c r="J6" s="7" t="e">
        <f>#REF!</f>
        <v>#REF!</v>
      </c>
      <c r="K6" s="7" t="e">
        <f>#REF!</f>
        <v>#REF!</v>
      </c>
      <c r="L6" s="45" t="e">
        <f t="shared" si="3"/>
        <v>#REF!</v>
      </c>
    </row>
    <row r="7" spans="2:17" ht="31.05" customHeight="1" x14ac:dyDescent="0.3">
      <c r="B7" s="74"/>
      <c r="C7" s="28" t="s">
        <v>19</v>
      </c>
      <c r="D7" s="7">
        <v>5151.9399999999996</v>
      </c>
      <c r="E7" s="7">
        <v>4941.8</v>
      </c>
      <c r="F7" s="45">
        <f t="shared" si="1"/>
        <v>-4.0788518499827141E-2</v>
      </c>
      <c r="G7" s="7">
        <v>10497.28</v>
      </c>
      <c r="H7" s="7">
        <v>10373.879999999999</v>
      </c>
      <c r="I7" s="45">
        <f t="shared" si="2"/>
        <v>-1.1755426167540682E-2</v>
      </c>
      <c r="J7" s="7">
        <v>10466.26</v>
      </c>
      <c r="K7" s="7">
        <v>10118.18</v>
      </c>
      <c r="L7" s="45">
        <f t="shared" si="3"/>
        <v>-3.325734311970082E-2</v>
      </c>
      <c r="N7" s="3" t="s">
        <v>67</v>
      </c>
    </row>
    <row r="8" spans="2:17" ht="31.05" customHeight="1" x14ac:dyDescent="0.3">
      <c r="B8" s="74"/>
      <c r="C8" s="28" t="s">
        <v>15</v>
      </c>
      <c r="D8" s="9"/>
      <c r="E8" s="9">
        <v>3476.02</v>
      </c>
      <c r="F8" s="45" t="s">
        <v>14</v>
      </c>
      <c r="G8" s="46"/>
      <c r="H8" s="46">
        <v>2600.14</v>
      </c>
      <c r="I8" s="45" t="s">
        <v>14</v>
      </c>
      <c r="J8" s="7"/>
      <c r="K8" s="7">
        <v>2249.5700000000002</v>
      </c>
      <c r="L8" s="45" t="s">
        <v>14</v>
      </c>
      <c r="N8" s="3" t="s">
        <v>68</v>
      </c>
    </row>
    <row r="9" spans="2:17" ht="31.05" customHeight="1" thickBot="1" x14ac:dyDescent="0.35">
      <c r="B9" s="75"/>
      <c r="C9" s="29" t="s">
        <v>16</v>
      </c>
      <c r="D9" s="12">
        <v>2381.34</v>
      </c>
      <c r="E9" s="12">
        <v>169.32</v>
      </c>
      <c r="F9" s="45">
        <f t="shared" si="1"/>
        <v>-0.9288971755398221</v>
      </c>
      <c r="G9" s="17">
        <v>3940.5</v>
      </c>
      <c r="H9" s="17">
        <v>1750.03</v>
      </c>
      <c r="I9" s="45">
        <f t="shared" si="2"/>
        <v>-0.55588630884405543</v>
      </c>
      <c r="J9" s="17">
        <v>4227.21</v>
      </c>
      <c r="K9" s="17">
        <v>2249.11</v>
      </c>
      <c r="L9" s="45">
        <f t="shared" si="3"/>
        <v>-0.46794457810234169</v>
      </c>
    </row>
    <row r="10" spans="2:17" ht="31.05" customHeight="1" thickTop="1" x14ac:dyDescent="0.3">
      <c r="B10" s="78" t="s">
        <v>43</v>
      </c>
      <c r="C10" s="27" t="s">
        <v>44</v>
      </c>
      <c r="D10" s="15">
        <f>SUM(D11:D13)</f>
        <v>22887.010000000002</v>
      </c>
      <c r="E10" s="15">
        <f>SUM(E11:E13)</f>
        <v>21174.870000000003</v>
      </c>
      <c r="F10" s="45">
        <f t="shared" si="1"/>
        <v>-7.4808373833017042E-2</v>
      </c>
      <c r="G10" s="15">
        <f t="shared" ref="G10:K10" si="4">SUM(G11:G13)</f>
        <v>19014.02</v>
      </c>
      <c r="H10" s="15">
        <f t="shared" si="4"/>
        <v>18500.260000000002</v>
      </c>
      <c r="I10" s="45">
        <f t="shared" si="2"/>
        <v>-2.7020062038432609E-2</v>
      </c>
      <c r="J10" s="15">
        <f t="shared" si="4"/>
        <v>17013.349999999999</v>
      </c>
      <c r="K10" s="15">
        <f t="shared" si="4"/>
        <v>16893.14</v>
      </c>
      <c r="L10" s="45">
        <f t="shared" si="3"/>
        <v>-7.0656278745807929E-3</v>
      </c>
    </row>
    <row r="11" spans="2:17" ht="31.05" customHeight="1" x14ac:dyDescent="0.3">
      <c r="B11" s="74"/>
      <c r="C11" s="27" t="s">
        <v>20</v>
      </c>
      <c r="D11" s="7">
        <v>19025.41</v>
      </c>
      <c r="E11" s="7">
        <v>17532.400000000001</v>
      </c>
      <c r="F11" s="45">
        <f t="shared" si="1"/>
        <v>-7.8474524333509682E-2</v>
      </c>
      <c r="G11" s="7">
        <v>15335.34</v>
      </c>
      <c r="H11" s="7">
        <v>14928.04</v>
      </c>
      <c r="I11" s="45">
        <f t="shared" si="2"/>
        <v>-2.6559567639191518E-2</v>
      </c>
      <c r="J11" s="7">
        <v>13711.98</v>
      </c>
      <c r="K11" s="7">
        <v>13614.89</v>
      </c>
      <c r="L11" s="45">
        <f t="shared" si="3"/>
        <v>-7.0806696042438914E-3</v>
      </c>
    </row>
    <row r="12" spans="2:17" ht="31.05" customHeight="1" x14ac:dyDescent="0.3">
      <c r="B12" s="74"/>
      <c r="C12" s="27" t="s">
        <v>21</v>
      </c>
      <c r="D12" s="7">
        <v>1973.29</v>
      </c>
      <c r="E12" s="16">
        <v>1852.29</v>
      </c>
      <c r="F12" s="45">
        <f t="shared" si="1"/>
        <v>-6.1318914097775797E-2</v>
      </c>
      <c r="G12" s="7">
        <v>1491.54</v>
      </c>
      <c r="H12" s="7">
        <v>1435.58</v>
      </c>
      <c r="I12" s="45">
        <f t="shared" si="2"/>
        <v>-3.751826970781879E-2</v>
      </c>
      <c r="J12" s="7">
        <v>1313.84</v>
      </c>
      <c r="K12" s="16">
        <v>1303.1300000000001</v>
      </c>
      <c r="L12" s="45">
        <f t="shared" si="3"/>
        <v>-8.1516775254215201E-3</v>
      </c>
    </row>
    <row r="13" spans="2:17" ht="30.6" customHeight="1" x14ac:dyDescent="0.3">
      <c r="B13" s="74"/>
      <c r="C13" s="38" t="s">
        <v>22</v>
      </c>
      <c r="D13" s="39">
        <v>1888.31</v>
      </c>
      <c r="E13" s="39">
        <v>1790.18</v>
      </c>
      <c r="F13" s="45">
        <f t="shared" si="1"/>
        <v>-5.1967102859170305E-2</v>
      </c>
      <c r="G13" s="39">
        <v>2187.14</v>
      </c>
      <c r="H13" s="39">
        <v>2136.64</v>
      </c>
      <c r="I13" s="45">
        <f t="shared" si="2"/>
        <v>-2.3089514160044625E-2</v>
      </c>
      <c r="J13" s="39">
        <v>1987.53</v>
      </c>
      <c r="K13" s="39">
        <v>1975.12</v>
      </c>
      <c r="L13" s="45">
        <f t="shared" si="3"/>
        <v>-6.2439309092190212E-3</v>
      </c>
    </row>
    <row r="14" spans="2:17" ht="30.6" customHeight="1" thickBot="1" x14ac:dyDescent="0.35">
      <c r="B14" s="75"/>
      <c r="C14" s="30" t="s">
        <v>48</v>
      </c>
      <c r="D14" s="17">
        <v>0</v>
      </c>
      <c r="E14" s="17">
        <v>0</v>
      </c>
      <c r="F14" s="45" t="s">
        <v>14</v>
      </c>
      <c r="G14" s="17">
        <v>0</v>
      </c>
      <c r="H14" s="17">
        <v>0</v>
      </c>
      <c r="I14" s="45" t="s">
        <v>14</v>
      </c>
      <c r="J14" s="17">
        <v>0</v>
      </c>
      <c r="K14" s="17">
        <v>0</v>
      </c>
      <c r="L14" s="45" t="s">
        <v>14</v>
      </c>
    </row>
    <row r="15" spans="2:17" s="21" customFormat="1" ht="31.05" customHeight="1" thickTop="1" x14ac:dyDescent="0.3">
      <c r="B15" s="41" t="s">
        <v>35</v>
      </c>
      <c r="C15" s="41"/>
      <c r="D15" s="42">
        <f>D4+D10</f>
        <v>43834.65</v>
      </c>
      <c r="E15" s="42">
        <f>E4+E10</f>
        <v>43131.53</v>
      </c>
      <c r="F15" s="43">
        <f t="shared" ref="F15" si="5">(E15-D15)/D15</f>
        <v>-1.6040278638018157E-2</v>
      </c>
      <c r="G15" s="42">
        <f>G4+G10</f>
        <v>47220.39</v>
      </c>
      <c r="H15" s="42">
        <f>H4+H10</f>
        <v>46912.95</v>
      </c>
      <c r="I15" s="43">
        <f t="shared" ref="I15" si="6">(H15-G15)/G15</f>
        <v>-6.5107467346204118E-3</v>
      </c>
      <c r="J15" s="42">
        <f>J4+J10</f>
        <v>45723.27</v>
      </c>
      <c r="K15" s="42">
        <f>K4+K10</f>
        <v>45447.29</v>
      </c>
      <c r="L15" s="43">
        <f t="shared" ref="L15" si="7">(K15-J15)/J15</f>
        <v>-6.0358762616933553E-3</v>
      </c>
    </row>
    <row r="16" spans="2:17"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703.12000000000262</v>
      </c>
      <c r="E17" s="71"/>
      <c r="F17" s="72"/>
      <c r="G17" s="70">
        <f>G15-H15</f>
        <v>307.44000000000233</v>
      </c>
      <c r="H17" s="71"/>
      <c r="I17" s="72"/>
      <c r="J17" s="70">
        <f>J15-K15</f>
        <v>275.97999999999593</v>
      </c>
      <c r="K17" s="71"/>
      <c r="L17" s="72"/>
    </row>
    <row r="18" spans="2:12" ht="31.05" customHeight="1" x14ac:dyDescent="0.3">
      <c r="B18" s="6"/>
      <c r="C18" s="27" t="s">
        <v>36</v>
      </c>
      <c r="D18" s="55">
        <f>D4-E4</f>
        <v>-1009.0200000000004</v>
      </c>
      <c r="E18" s="56"/>
      <c r="F18" s="57"/>
      <c r="G18" s="55">
        <f>G4-H4</f>
        <v>-206.31999999999243</v>
      </c>
      <c r="H18" s="56"/>
      <c r="I18" s="57"/>
      <c r="J18" s="55">
        <f>J4-K4</f>
        <v>155.7699999999968</v>
      </c>
      <c r="K18" s="56"/>
      <c r="L18" s="57"/>
    </row>
    <row r="19" spans="2:12" ht="31.05" customHeight="1" x14ac:dyDescent="0.3">
      <c r="B19" s="6"/>
      <c r="C19" s="27" t="s">
        <v>37</v>
      </c>
      <c r="D19" s="55">
        <f>D10-E10</f>
        <v>1712.1399999999994</v>
      </c>
      <c r="E19" s="56"/>
      <c r="F19" s="57"/>
      <c r="G19" s="55">
        <f>G10-H10</f>
        <v>513.7599999999984</v>
      </c>
      <c r="H19" s="56"/>
      <c r="I19" s="57"/>
      <c r="J19" s="55">
        <f>J10-K10</f>
        <v>120.20999999999913</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0.20227731716158209</v>
      </c>
      <c r="E21" s="65"/>
      <c r="F21" s="66"/>
      <c r="G21" s="64">
        <f>G17/H9</f>
        <v>0.17567698839448601</v>
      </c>
      <c r="H21" s="65"/>
      <c r="I21" s="66"/>
      <c r="J21" s="64">
        <f>J17/K9</f>
        <v>0.12270631494235315</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A734-5CFA-4CA5-A6A0-ACEE2C92BFA9}">
  <dimension ref="B2:L97"/>
  <sheetViews>
    <sheetView zoomScale="60" zoomScaleNormal="60" workbookViewId="0">
      <selection activeCell="F15" sqref="F15"/>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20088.27</v>
      </c>
      <c r="E4" s="33">
        <f>SUM(E5,E7:E9)</f>
        <v>21267.84</v>
      </c>
      <c r="F4" s="45">
        <f>(E4-D4)/D4</f>
        <v>5.8719342183274105E-2</v>
      </c>
      <c r="G4" s="33">
        <f t="shared" ref="G4:J4" si="0">SUM(G5,G7:G9)</f>
        <v>27380.02</v>
      </c>
      <c r="H4" s="33">
        <f t="shared" si="0"/>
        <v>27595.030000000002</v>
      </c>
      <c r="I4" s="45">
        <f>(H4-G4)/G4</f>
        <v>7.8528065355687113E-3</v>
      </c>
      <c r="J4" s="33">
        <f t="shared" si="0"/>
        <v>27844.31</v>
      </c>
      <c r="K4" s="33">
        <f>SUM(K5,K7:K9)</f>
        <v>27892.16</v>
      </c>
      <c r="L4" s="45">
        <f>(K4-J4)/J4</f>
        <v>1.7184839559679713E-3</v>
      </c>
    </row>
    <row r="5" spans="2:12" ht="31.05" customHeight="1" x14ac:dyDescent="0.3">
      <c r="B5" s="74"/>
      <c r="C5" s="27" t="s">
        <v>13</v>
      </c>
      <c r="D5" s="7">
        <v>13371.3</v>
      </c>
      <c r="E5" s="7">
        <v>13362.06</v>
      </c>
      <c r="F5" s="45">
        <f t="shared" ref="F5:F13" si="1">(E5-D5)/D5</f>
        <v>-6.9103228556683207E-4</v>
      </c>
      <c r="G5" s="7">
        <v>13710.7</v>
      </c>
      <c r="H5" s="7">
        <v>13643.2</v>
      </c>
      <c r="I5" s="45">
        <f t="shared" ref="I5:I13" si="2">(H5-G5)/G5</f>
        <v>-4.9231622017840079E-3</v>
      </c>
      <c r="J5" s="7">
        <v>13962.78</v>
      </c>
      <c r="K5" s="7">
        <v>13890.05</v>
      </c>
      <c r="L5" s="45">
        <f t="shared" ref="L5:L13" si="3">(K5-J5)/J5</f>
        <v>-5.2088480947204913E-3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74"/>
      <c r="C7" s="28" t="s">
        <v>19</v>
      </c>
      <c r="D7" s="7">
        <v>4738.7700000000004</v>
      </c>
      <c r="E7" s="7">
        <v>4706.68</v>
      </c>
      <c r="F7" s="45">
        <f t="shared" si="1"/>
        <v>-6.7717994331862787E-3</v>
      </c>
      <c r="G7" s="7">
        <v>9949.59</v>
      </c>
      <c r="H7" s="7">
        <v>9754.49</v>
      </c>
      <c r="I7" s="45">
        <f t="shared" si="2"/>
        <v>-1.9608848203795368E-2</v>
      </c>
      <c r="J7" s="7">
        <v>9870.6200000000008</v>
      </c>
      <c r="K7" s="7">
        <v>9657.59</v>
      </c>
      <c r="L7" s="45">
        <f t="shared" si="3"/>
        <v>-2.1582230903428624E-2</v>
      </c>
    </row>
    <row r="8" spans="2:12" ht="31.05" customHeight="1" x14ac:dyDescent="0.3">
      <c r="B8" s="74"/>
      <c r="C8" s="28" t="s">
        <v>15</v>
      </c>
      <c r="D8" s="9"/>
      <c r="E8" s="9">
        <v>3002.02</v>
      </c>
      <c r="F8" s="45" t="s">
        <v>14</v>
      </c>
      <c r="G8" s="46"/>
      <c r="H8" s="7">
        <v>2484.4699999999998</v>
      </c>
      <c r="I8" s="45" t="s">
        <v>14</v>
      </c>
      <c r="J8" s="7"/>
      <c r="K8" s="7">
        <v>2243.48</v>
      </c>
      <c r="L8" s="45" t="s">
        <v>14</v>
      </c>
    </row>
    <row r="9" spans="2:12" ht="31.05" customHeight="1" thickBot="1" x14ac:dyDescent="0.35">
      <c r="B9" s="75"/>
      <c r="C9" s="29" t="s">
        <v>16</v>
      </c>
      <c r="D9" s="12">
        <v>1978.2</v>
      </c>
      <c r="E9" s="12">
        <v>197.08</v>
      </c>
      <c r="F9" s="45">
        <f t="shared" si="1"/>
        <v>-0.90037407744414122</v>
      </c>
      <c r="G9" s="17">
        <v>3719.73</v>
      </c>
      <c r="H9" s="17">
        <v>1712.87</v>
      </c>
      <c r="I9" s="45">
        <f t="shared" si="2"/>
        <v>-0.53951765316299838</v>
      </c>
      <c r="J9" s="17">
        <v>4010.91</v>
      </c>
      <c r="K9" s="17">
        <v>2101.04</v>
      </c>
      <c r="L9" s="45">
        <f t="shared" si="3"/>
        <v>-0.47616874973509749</v>
      </c>
    </row>
    <row r="10" spans="2:12" ht="31.05" customHeight="1" thickTop="1" x14ac:dyDescent="0.3">
      <c r="B10" s="78" t="s">
        <v>43</v>
      </c>
      <c r="C10" s="27" t="s">
        <v>44</v>
      </c>
      <c r="D10" s="15">
        <f>SUM(D11:D13)</f>
        <v>22361.360000000001</v>
      </c>
      <c r="E10" s="15">
        <f>SUM(E11:E13)</f>
        <v>20622.990000000002</v>
      </c>
      <c r="F10" s="45">
        <f t="shared" si="1"/>
        <v>-7.7739904907393784E-2</v>
      </c>
      <c r="G10" s="15">
        <f t="shared" ref="G10:K10" si="4">SUM(G11:G13)</f>
        <v>18666.649999999998</v>
      </c>
      <c r="H10" s="15">
        <f t="shared" si="4"/>
        <v>18183.38</v>
      </c>
      <c r="I10" s="45">
        <f t="shared" si="2"/>
        <v>-2.5889487401327869E-2</v>
      </c>
      <c r="J10" s="15">
        <f t="shared" si="4"/>
        <v>16843.55</v>
      </c>
      <c r="K10" s="15">
        <f t="shared" si="4"/>
        <v>16537.89</v>
      </c>
      <c r="L10" s="45">
        <f t="shared" si="3"/>
        <v>-1.8147005827156382E-2</v>
      </c>
    </row>
    <row r="11" spans="2:12" ht="31.05" customHeight="1" x14ac:dyDescent="0.3">
      <c r="B11" s="74"/>
      <c r="C11" s="27" t="s">
        <v>20</v>
      </c>
      <c r="D11" s="7">
        <v>18521.919999999998</v>
      </c>
      <c r="E11" s="7">
        <v>17048.03</v>
      </c>
      <c r="F11" s="45">
        <f t="shared" si="1"/>
        <v>-7.9575443582522734E-2</v>
      </c>
      <c r="G11" s="7">
        <v>14859.86</v>
      </c>
      <c r="H11" s="7">
        <v>14500.96</v>
      </c>
      <c r="I11" s="45">
        <f t="shared" si="2"/>
        <v>-2.4152313682632369E-2</v>
      </c>
      <c r="J11" s="7">
        <v>13520.32</v>
      </c>
      <c r="K11" s="7">
        <v>13264.84</v>
      </c>
      <c r="L11" s="45">
        <f t="shared" si="3"/>
        <v>-1.8896002461480169E-2</v>
      </c>
    </row>
    <row r="12" spans="2:12" ht="31.05" customHeight="1" x14ac:dyDescent="0.3">
      <c r="B12" s="74"/>
      <c r="C12" s="27" t="s">
        <v>21</v>
      </c>
      <c r="D12" s="7">
        <v>1964.24</v>
      </c>
      <c r="E12" s="16">
        <v>1853.97</v>
      </c>
      <c r="F12" s="45">
        <f t="shared" si="1"/>
        <v>-5.6138761047529823E-2</v>
      </c>
      <c r="G12" s="7">
        <v>1534.26</v>
      </c>
      <c r="H12" s="16">
        <v>1461.19</v>
      </c>
      <c r="I12" s="45">
        <f t="shared" si="2"/>
        <v>-4.7625565419159681E-2</v>
      </c>
      <c r="J12" s="7">
        <v>1292.68</v>
      </c>
      <c r="K12" s="16">
        <v>1273.51</v>
      </c>
      <c r="L12" s="45">
        <f t="shared" si="3"/>
        <v>-1.4829656218089605E-2</v>
      </c>
    </row>
    <row r="13" spans="2:12" ht="31.05" customHeight="1" x14ac:dyDescent="0.3">
      <c r="B13" s="74"/>
      <c r="C13" s="38" t="s">
        <v>22</v>
      </c>
      <c r="D13" s="39">
        <v>1875.2</v>
      </c>
      <c r="E13" s="39">
        <v>1720.99</v>
      </c>
      <c r="F13" s="45">
        <f t="shared" si="1"/>
        <v>-8.2236561433447111E-2</v>
      </c>
      <c r="G13" s="39">
        <v>2272.5300000000002</v>
      </c>
      <c r="H13" s="39">
        <v>2221.23</v>
      </c>
      <c r="I13" s="45">
        <f t="shared" si="2"/>
        <v>-2.2573959419677707E-2</v>
      </c>
      <c r="J13" s="39">
        <v>2030.55</v>
      </c>
      <c r="K13" s="39">
        <v>1999.54</v>
      </c>
      <c r="L13" s="45">
        <f t="shared" si="3"/>
        <v>-1.5271724409642704E-2</v>
      </c>
    </row>
    <row r="14" spans="2:12" ht="31.05" customHeight="1" thickBot="1" x14ac:dyDescent="0.35">
      <c r="B14" s="75"/>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42449.630000000005</v>
      </c>
      <c r="E15" s="42">
        <f>E4+E10</f>
        <v>41890.83</v>
      </c>
      <c r="F15" s="43">
        <f t="shared" ref="F15" si="5">(E15-D15)/D15</f>
        <v>-1.316383676371273E-2</v>
      </c>
      <c r="G15" s="42">
        <f>G4+G10</f>
        <v>46046.67</v>
      </c>
      <c r="H15" s="42">
        <f>H4+H10</f>
        <v>45778.41</v>
      </c>
      <c r="I15" s="43">
        <f t="shared" ref="I15" si="6">(H15-G15)/G15</f>
        <v>-5.8258284475293173E-3</v>
      </c>
      <c r="J15" s="42">
        <f>J4+J10</f>
        <v>44687.86</v>
      </c>
      <c r="K15" s="42">
        <f>K4+K10</f>
        <v>44430.05</v>
      </c>
      <c r="L15" s="43">
        <f t="shared" ref="L15" si="7">(K15-J15)/J15</f>
        <v>-5.7691283493995389E-3</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558.80000000000291</v>
      </c>
      <c r="E17" s="71"/>
      <c r="F17" s="72"/>
      <c r="G17" s="70">
        <f>G15-H15</f>
        <v>268.25999999999476</v>
      </c>
      <c r="H17" s="71"/>
      <c r="I17" s="72"/>
      <c r="J17" s="70">
        <f>J15-K15</f>
        <v>257.80999999999767</v>
      </c>
      <c r="K17" s="71"/>
      <c r="L17" s="72"/>
    </row>
    <row r="18" spans="2:12" ht="31.05" customHeight="1" x14ac:dyDescent="0.3">
      <c r="B18" s="6"/>
      <c r="C18" s="27" t="s">
        <v>36</v>
      </c>
      <c r="D18" s="55">
        <f>D4-E4</f>
        <v>-1179.5699999999997</v>
      </c>
      <c r="E18" s="56"/>
      <c r="F18" s="57"/>
      <c r="G18" s="55">
        <f>G4-H4</f>
        <v>-215.01000000000204</v>
      </c>
      <c r="H18" s="56"/>
      <c r="I18" s="57"/>
      <c r="J18" s="55">
        <f>J4-K4</f>
        <v>-47.849999999998545</v>
      </c>
      <c r="K18" s="56"/>
      <c r="L18" s="57"/>
    </row>
    <row r="19" spans="2:12" ht="31.05" customHeight="1" x14ac:dyDescent="0.3">
      <c r="B19" s="6"/>
      <c r="C19" s="27" t="s">
        <v>37</v>
      </c>
      <c r="D19" s="55">
        <f>D10-E10</f>
        <v>1738.369999999999</v>
      </c>
      <c r="E19" s="56"/>
      <c r="F19" s="57"/>
      <c r="G19" s="55">
        <f>G10-H10</f>
        <v>483.2699999999968</v>
      </c>
      <c r="H19" s="56"/>
      <c r="I19" s="57"/>
      <c r="J19" s="55">
        <f>J10-K10</f>
        <v>305.65999999999985</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0.1861413315034553</v>
      </c>
      <c r="E21" s="65"/>
      <c r="F21" s="66"/>
      <c r="G21" s="64">
        <f>G17/H9</f>
        <v>0.15661433734025043</v>
      </c>
      <c r="H21" s="65"/>
      <c r="I21" s="66"/>
      <c r="J21" s="64">
        <f>J17/K9</f>
        <v>0.12270589803144999</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BF175-FCDA-4B1D-B4DB-B503C68EE0EB}">
  <dimension ref="B2:L97"/>
  <sheetViews>
    <sheetView zoomScale="60" zoomScaleNormal="60" workbookViewId="0">
      <selection activeCell="P12" sqref="P12"/>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19366.560000000001</v>
      </c>
      <c r="E4" s="33">
        <f>SUM(E5,E7:E9)</f>
        <v>20641.12</v>
      </c>
      <c r="F4" s="45">
        <f>(E4-D4)/D4</f>
        <v>6.5812410670764321E-2</v>
      </c>
      <c r="G4" s="33">
        <f t="shared" ref="G4:J4" si="0">SUM(G5,G7:G9)</f>
        <v>26879.06</v>
      </c>
      <c r="H4" s="33">
        <f t="shared" si="0"/>
        <v>27122.230000000003</v>
      </c>
      <c r="I4" s="45">
        <f>(H4-G4)/G4</f>
        <v>9.0468193456170673E-3</v>
      </c>
      <c r="J4" s="33">
        <f t="shared" si="0"/>
        <v>27378.69</v>
      </c>
      <c r="K4" s="33">
        <f>SUM(K5,K7:K9)</f>
        <v>27328.2</v>
      </c>
      <c r="L4" s="47">
        <f>(K4-J4)/J4</f>
        <v>-1.8441349823529894E-3</v>
      </c>
    </row>
    <row r="5" spans="2:12" ht="31.05" customHeight="1" x14ac:dyDescent="0.3">
      <c r="B5" s="74"/>
      <c r="C5" s="27" t="s">
        <v>13</v>
      </c>
      <c r="D5" s="7">
        <v>12409.12</v>
      </c>
      <c r="E5" s="7">
        <v>12393.9</v>
      </c>
      <c r="F5" s="45">
        <f t="shared" ref="F5:F13" si="1">(E5-D5)/D5</f>
        <v>-1.2265172711683958E-3</v>
      </c>
      <c r="G5" s="7">
        <v>12765</v>
      </c>
      <c r="H5" s="7">
        <v>12697.69</v>
      </c>
      <c r="I5" s="45">
        <f t="shared" ref="I5:I13" si="2">(H5-G5)/G5</f>
        <v>-5.2730121425773203E-3</v>
      </c>
      <c r="J5" s="7">
        <v>13019.53</v>
      </c>
      <c r="K5" s="7">
        <v>12945.4</v>
      </c>
      <c r="L5" s="47">
        <f t="shared" ref="L5:L13" si="3">(K5-J5)/J5</f>
        <v>-5.6937539219926534E-3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7" t="e">
        <f t="shared" si="3"/>
        <v>#REF!</v>
      </c>
    </row>
    <row r="7" spans="2:12" ht="31.05" customHeight="1" x14ac:dyDescent="0.3">
      <c r="B7" s="74"/>
      <c r="C7" s="28" t="s">
        <v>19</v>
      </c>
      <c r="D7" s="7">
        <v>4833.58</v>
      </c>
      <c r="E7" s="7">
        <v>4795.8900000000003</v>
      </c>
      <c r="F7" s="45">
        <f t="shared" si="1"/>
        <v>-7.7975330914145623E-3</v>
      </c>
      <c r="G7" s="7">
        <v>10298.65</v>
      </c>
      <c r="H7" s="7">
        <v>10155.290000000001</v>
      </c>
      <c r="I7" s="45">
        <f t="shared" si="2"/>
        <v>-1.3920271103494027E-2</v>
      </c>
      <c r="J7" s="7">
        <v>10216.969999999999</v>
      </c>
      <c r="K7" s="7">
        <v>9923.56</v>
      </c>
      <c r="L7" s="47">
        <f t="shared" si="3"/>
        <v>-2.8717907559677663E-2</v>
      </c>
    </row>
    <row r="8" spans="2:12" ht="31.05" customHeight="1" x14ac:dyDescent="0.3">
      <c r="B8" s="74"/>
      <c r="C8" s="28" t="s">
        <v>15</v>
      </c>
      <c r="D8" s="9"/>
      <c r="E8" s="9">
        <v>3277.82</v>
      </c>
      <c r="F8" s="45" t="s">
        <v>14</v>
      </c>
      <c r="G8" s="46"/>
      <c r="H8" s="7">
        <v>2581.17</v>
      </c>
      <c r="I8" s="45" t="s">
        <v>14</v>
      </c>
      <c r="J8" s="7"/>
      <c r="K8" s="7">
        <v>2253.2199999999998</v>
      </c>
      <c r="L8" s="47" t="s">
        <v>14</v>
      </c>
    </row>
    <row r="9" spans="2:12" ht="31.05" customHeight="1" thickBot="1" x14ac:dyDescent="0.35">
      <c r="B9" s="75"/>
      <c r="C9" s="29" t="s">
        <v>16</v>
      </c>
      <c r="D9" s="12">
        <v>2123.86</v>
      </c>
      <c r="E9" s="12">
        <v>173.51</v>
      </c>
      <c r="F9" s="45">
        <f t="shared" si="1"/>
        <v>-0.91830440801182756</v>
      </c>
      <c r="G9" s="17">
        <v>3815.41</v>
      </c>
      <c r="H9" s="17">
        <v>1688.08</v>
      </c>
      <c r="I9" s="45">
        <f t="shared" si="2"/>
        <v>-0.5575626210551422</v>
      </c>
      <c r="J9" s="17">
        <v>4142.1899999999996</v>
      </c>
      <c r="K9" s="17">
        <v>2206.02</v>
      </c>
      <c r="L9" s="47">
        <f t="shared" si="3"/>
        <v>-0.4674266511193354</v>
      </c>
    </row>
    <row r="10" spans="2:12" ht="31.05" customHeight="1" thickTop="1" x14ac:dyDescent="0.3">
      <c r="B10" s="78" t="s">
        <v>43</v>
      </c>
      <c r="C10" s="27" t="s">
        <v>44</v>
      </c>
      <c r="D10" s="15">
        <f>SUM(D11:D13)</f>
        <v>22884.83</v>
      </c>
      <c r="E10" s="15">
        <f>SUM(E11:E13)</f>
        <v>20978.43</v>
      </c>
      <c r="F10" s="45">
        <f t="shared" si="1"/>
        <v>-8.3304092711197819E-2</v>
      </c>
      <c r="G10" s="15">
        <f t="shared" ref="G10:K10" si="4">SUM(G11:G13)</f>
        <v>18861.91</v>
      </c>
      <c r="H10" s="15">
        <f t="shared" si="4"/>
        <v>18328.039999999997</v>
      </c>
      <c r="I10" s="45">
        <f t="shared" si="2"/>
        <v>-2.8304132508319816E-2</v>
      </c>
      <c r="J10" s="15">
        <f t="shared" si="4"/>
        <v>16921.93</v>
      </c>
      <c r="K10" s="15">
        <f t="shared" si="4"/>
        <v>16703.939999999999</v>
      </c>
      <c r="L10" s="47">
        <f t="shared" si="3"/>
        <v>-1.2882100327799583E-2</v>
      </c>
    </row>
    <row r="11" spans="2:12" ht="31.05" customHeight="1" x14ac:dyDescent="0.3">
      <c r="B11" s="74"/>
      <c r="C11" s="27" t="s">
        <v>20</v>
      </c>
      <c r="D11" s="7">
        <v>19001.25</v>
      </c>
      <c r="E11" s="7">
        <v>17378.16</v>
      </c>
      <c r="F11" s="45">
        <f t="shared" si="1"/>
        <v>-8.5420169725675954E-2</v>
      </c>
      <c r="G11" s="7">
        <v>15109.69</v>
      </c>
      <c r="H11" s="7">
        <v>14708.3</v>
      </c>
      <c r="I11" s="45">
        <f t="shared" si="2"/>
        <v>-2.6565071818151216E-2</v>
      </c>
      <c r="J11" s="7">
        <v>13598.04</v>
      </c>
      <c r="K11" s="7">
        <v>13406.98</v>
      </c>
      <c r="L11" s="47">
        <f t="shared" si="3"/>
        <v>-1.4050554344596816E-2</v>
      </c>
    </row>
    <row r="12" spans="2:12" ht="31.05" customHeight="1" x14ac:dyDescent="0.3">
      <c r="B12" s="74"/>
      <c r="C12" s="27" t="s">
        <v>21</v>
      </c>
      <c r="D12" s="7">
        <v>1989.43</v>
      </c>
      <c r="E12" s="16">
        <v>1860.96</v>
      </c>
      <c r="F12" s="45">
        <f t="shared" si="1"/>
        <v>-6.4576285669764713E-2</v>
      </c>
      <c r="G12" s="7">
        <v>1517.56</v>
      </c>
      <c r="H12" s="16">
        <v>1440.56</v>
      </c>
      <c r="I12" s="45">
        <f t="shared" si="2"/>
        <v>-5.0739344737605108E-2</v>
      </c>
      <c r="J12" s="7">
        <v>1311.35</v>
      </c>
      <c r="K12" s="16">
        <v>1299.5</v>
      </c>
      <c r="L12" s="47">
        <f t="shared" si="3"/>
        <v>-9.0364891142714829E-3</v>
      </c>
    </row>
    <row r="13" spans="2:12" ht="31.05" customHeight="1" x14ac:dyDescent="0.3">
      <c r="B13" s="74"/>
      <c r="C13" s="38" t="s">
        <v>22</v>
      </c>
      <c r="D13" s="39">
        <v>1894.15</v>
      </c>
      <c r="E13" s="39">
        <v>1739.31</v>
      </c>
      <c r="F13" s="45">
        <f t="shared" si="1"/>
        <v>-8.1746429797006651E-2</v>
      </c>
      <c r="G13" s="39">
        <v>2234.66</v>
      </c>
      <c r="H13" s="39">
        <v>2179.1799999999998</v>
      </c>
      <c r="I13" s="45">
        <f t="shared" si="2"/>
        <v>-2.4827043040104545E-2</v>
      </c>
      <c r="J13" s="39">
        <v>2012.54</v>
      </c>
      <c r="K13" s="39">
        <v>1997.46</v>
      </c>
      <c r="L13" s="47">
        <f t="shared" si="3"/>
        <v>-7.4930187722976578E-3</v>
      </c>
    </row>
    <row r="14" spans="2:12" ht="31.05" customHeight="1" thickBot="1" x14ac:dyDescent="0.35">
      <c r="B14" s="75"/>
      <c r="C14" s="30" t="s">
        <v>48</v>
      </c>
      <c r="D14" s="17">
        <v>0</v>
      </c>
      <c r="E14" s="17">
        <v>0</v>
      </c>
      <c r="F14" s="45" t="s">
        <v>14</v>
      </c>
      <c r="G14" s="17">
        <v>0</v>
      </c>
      <c r="H14" s="17">
        <v>0</v>
      </c>
      <c r="I14" s="45" t="s">
        <v>14</v>
      </c>
      <c r="J14" s="17">
        <v>0</v>
      </c>
      <c r="K14" s="17">
        <v>0</v>
      </c>
      <c r="L14" s="47" t="s">
        <v>14</v>
      </c>
    </row>
    <row r="15" spans="2:12" s="21" customFormat="1" ht="31.05" customHeight="1" thickTop="1" x14ac:dyDescent="0.3">
      <c r="B15" s="41" t="s">
        <v>35</v>
      </c>
      <c r="C15" s="41"/>
      <c r="D15" s="42">
        <f>D4+D10</f>
        <v>42251.39</v>
      </c>
      <c r="E15" s="42">
        <f>E4+E10</f>
        <v>41619.550000000003</v>
      </c>
      <c r="F15" s="43">
        <f t="shared" ref="F15" si="5">(E15-D15)/D15</f>
        <v>-1.4954300911756903E-2</v>
      </c>
      <c r="G15" s="42">
        <f>G4+G10</f>
        <v>45740.97</v>
      </c>
      <c r="H15" s="42">
        <f>H4+H10</f>
        <v>45450.270000000004</v>
      </c>
      <c r="I15" s="43">
        <f t="shared" ref="I15" si="6">(H15-G15)/G15</f>
        <v>-6.3553527614302252E-3</v>
      </c>
      <c r="J15" s="42">
        <f>J4+J10</f>
        <v>44300.619999999995</v>
      </c>
      <c r="K15" s="42">
        <f>K4+K10</f>
        <v>44032.14</v>
      </c>
      <c r="L15" s="43">
        <f t="shared" ref="L15" si="7">(K15-J15)/J15</f>
        <v>-6.0604117955910313E-3</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631.83999999999651</v>
      </c>
      <c r="E17" s="71"/>
      <c r="F17" s="72"/>
      <c r="G17" s="70">
        <f>G15-H15</f>
        <v>290.69999999999709</v>
      </c>
      <c r="H17" s="71"/>
      <c r="I17" s="72"/>
      <c r="J17" s="70">
        <f>J15-K15</f>
        <v>268.47999999999593</v>
      </c>
      <c r="K17" s="71"/>
      <c r="L17" s="72"/>
    </row>
    <row r="18" spans="2:12" ht="31.05" customHeight="1" x14ac:dyDescent="0.3">
      <c r="B18" s="6"/>
      <c r="C18" s="27" t="s">
        <v>36</v>
      </c>
      <c r="D18" s="55">
        <f>D4-E4</f>
        <v>-1274.5599999999977</v>
      </c>
      <c r="E18" s="56"/>
      <c r="F18" s="57"/>
      <c r="G18" s="55">
        <f>G4-H4</f>
        <v>-243.17000000000189</v>
      </c>
      <c r="H18" s="56"/>
      <c r="I18" s="57"/>
      <c r="J18" s="55">
        <f>J4-K4</f>
        <v>50.489999999997963</v>
      </c>
      <c r="K18" s="56"/>
      <c r="L18" s="57"/>
    </row>
    <row r="19" spans="2:12" ht="31.05" customHeight="1" x14ac:dyDescent="0.3">
      <c r="B19" s="6"/>
      <c r="C19" s="27" t="s">
        <v>37</v>
      </c>
      <c r="D19" s="55">
        <f>D10-E10</f>
        <v>1906.4000000000015</v>
      </c>
      <c r="E19" s="56"/>
      <c r="F19" s="57"/>
      <c r="G19" s="55">
        <f>G10-H10</f>
        <v>533.87000000000262</v>
      </c>
      <c r="H19" s="56"/>
      <c r="I19" s="57"/>
      <c r="J19" s="55">
        <f>J10-K10</f>
        <v>217.9900000000016</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0.19276226272339436</v>
      </c>
      <c r="E21" s="65"/>
      <c r="F21" s="66"/>
      <c r="G21" s="64">
        <f>G17/H9</f>
        <v>0.1722074783185614</v>
      </c>
      <c r="H21" s="65"/>
      <c r="I21" s="66"/>
      <c r="J21" s="64">
        <f>J17/K9</f>
        <v>0.12170333904497509</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00C02-5D24-4AB1-BFB9-A5EA865DE000}">
  <dimension ref="B2:L97"/>
  <sheetViews>
    <sheetView zoomScale="60" zoomScaleNormal="60" workbookViewId="0">
      <selection activeCell="J8" sqref="J8"/>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20339.769999999997</v>
      </c>
      <c r="E4" s="33">
        <f>SUM(E5,E7:E9)</f>
        <v>21855.879999999997</v>
      </c>
      <c r="F4" s="45">
        <f>(E4-D4)/D4</f>
        <v>7.4539190954470022E-2</v>
      </c>
      <c r="G4" s="33">
        <f t="shared" ref="G4:J4" si="0">SUM(G5,G7:G9)</f>
        <v>27755.910000000003</v>
      </c>
      <c r="H4" s="33">
        <f t="shared" si="0"/>
        <v>28170.399999999998</v>
      </c>
      <c r="I4" s="45">
        <f>(H4-G4)/G4</f>
        <v>1.4933396166798145E-2</v>
      </c>
      <c r="J4" s="33">
        <f t="shared" si="0"/>
        <v>28255.25</v>
      </c>
      <c r="K4" s="33">
        <f>SUM(K5,K7:K9)</f>
        <v>28286.27</v>
      </c>
      <c r="L4" s="45">
        <f>(K4-J4)/J4</f>
        <v>1.0978490722963145E-3</v>
      </c>
    </row>
    <row r="5" spans="2:12" ht="31.05" customHeight="1" x14ac:dyDescent="0.3">
      <c r="B5" s="74"/>
      <c r="C5" s="27" t="s">
        <v>13</v>
      </c>
      <c r="D5" s="7">
        <v>13380.05</v>
      </c>
      <c r="E5" s="7">
        <v>13364.83</v>
      </c>
      <c r="F5" s="45">
        <f t="shared" ref="F5:F13" si="1">(E5-D5)/D5</f>
        <v>-1.1375144338025155E-3</v>
      </c>
      <c r="G5" s="7">
        <v>13735.76</v>
      </c>
      <c r="H5" s="7">
        <v>13662.38</v>
      </c>
      <c r="I5" s="45">
        <f t="shared" ref="I5:I13" si="2">(H5-G5)/G5</f>
        <v>-5.3422599113555434E-3</v>
      </c>
      <c r="J5" s="7">
        <v>13988.82</v>
      </c>
      <c r="K5" s="7">
        <v>13898.5</v>
      </c>
      <c r="L5" s="45">
        <f t="shared" ref="L5:L13" si="3">(K5-J5)/J5</f>
        <v>-6.4565846154285862E-3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74"/>
      <c r="C7" s="28" t="s">
        <v>19</v>
      </c>
      <c r="D7" s="7">
        <v>4833.58</v>
      </c>
      <c r="E7" s="7">
        <v>4795.91</v>
      </c>
      <c r="F7" s="45">
        <f t="shared" si="1"/>
        <v>-7.7933953715465711E-3</v>
      </c>
      <c r="G7" s="7">
        <v>10208.75</v>
      </c>
      <c r="H7" s="7">
        <v>10004.219999999999</v>
      </c>
      <c r="I7" s="45">
        <f t="shared" si="2"/>
        <v>-2.00347740908535E-2</v>
      </c>
      <c r="J7" s="7">
        <v>10160.780000000001</v>
      </c>
      <c r="K7" s="7">
        <v>9768.9500000000007</v>
      </c>
      <c r="L7" s="45">
        <f t="shared" si="3"/>
        <v>-3.8562984337816575E-2</v>
      </c>
    </row>
    <row r="8" spans="2:12" ht="31.05" customHeight="1" x14ac:dyDescent="0.3">
      <c r="B8" s="74"/>
      <c r="C8" s="28" t="s">
        <v>15</v>
      </c>
      <c r="D8" s="9"/>
      <c r="E8" s="9">
        <v>3521.63</v>
      </c>
      <c r="F8" s="45" t="s">
        <v>14</v>
      </c>
      <c r="G8" s="46"/>
      <c r="H8" s="7">
        <v>3186.73</v>
      </c>
      <c r="I8" s="45" t="s">
        <v>14</v>
      </c>
      <c r="J8" s="7"/>
      <c r="K8" s="7">
        <v>3121.78</v>
      </c>
      <c r="L8" s="45" t="s">
        <v>14</v>
      </c>
    </row>
    <row r="9" spans="2:12" ht="31.05" customHeight="1" thickBot="1" x14ac:dyDescent="0.35">
      <c r="B9" s="75"/>
      <c r="C9" s="29" t="s">
        <v>16</v>
      </c>
      <c r="D9" s="12">
        <v>2126.14</v>
      </c>
      <c r="E9" s="12">
        <v>173.51</v>
      </c>
      <c r="F9" s="45">
        <f t="shared" si="1"/>
        <v>-0.91839201557752548</v>
      </c>
      <c r="G9" s="17">
        <v>3811.4</v>
      </c>
      <c r="H9" s="17">
        <v>1317.07</v>
      </c>
      <c r="I9" s="45">
        <f t="shared" si="2"/>
        <v>-0.6544393136380332</v>
      </c>
      <c r="J9" s="17">
        <v>4105.6499999999996</v>
      </c>
      <c r="K9" s="17">
        <v>1497.04</v>
      </c>
      <c r="L9" s="45">
        <f t="shared" si="3"/>
        <v>-0.63537076954927962</v>
      </c>
    </row>
    <row r="10" spans="2:12" ht="31.05" customHeight="1" thickTop="1" x14ac:dyDescent="0.3">
      <c r="B10" s="78" t="s">
        <v>43</v>
      </c>
      <c r="C10" s="27" t="s">
        <v>44</v>
      </c>
      <c r="D10" s="15">
        <f>SUM(D11:D13)</f>
        <v>22815.43</v>
      </c>
      <c r="E10" s="15">
        <f>SUM(E11:E13)</f>
        <v>20577.68</v>
      </c>
      <c r="F10" s="45">
        <f t="shared" si="1"/>
        <v>-9.8080553379883695E-2</v>
      </c>
      <c r="G10" s="15">
        <f>SUM(G11:G13)</f>
        <v>18886.419999999998</v>
      </c>
      <c r="H10" s="15">
        <f t="shared" ref="H10:K10" si="4">SUM(H11:H13)</f>
        <v>18024.739999999998</v>
      </c>
      <c r="I10" s="45">
        <f t="shared" si="2"/>
        <v>-4.5624316307696235E-2</v>
      </c>
      <c r="J10" s="15">
        <f>SUM(J11:J13)</f>
        <v>16962.46</v>
      </c>
      <c r="K10" s="15">
        <f t="shared" si="4"/>
        <v>16463.57</v>
      </c>
      <c r="L10" s="45">
        <f t="shared" si="3"/>
        <v>-2.9411417919334781E-2</v>
      </c>
    </row>
    <row r="11" spans="2:12" ht="31.05" customHeight="1" x14ac:dyDescent="0.3">
      <c r="B11" s="74"/>
      <c r="C11" s="27" t="s">
        <v>20</v>
      </c>
      <c r="D11" s="7">
        <v>18942.5</v>
      </c>
      <c r="E11" s="7">
        <v>17045.68</v>
      </c>
      <c r="F11" s="45">
        <f t="shared" si="1"/>
        <v>-0.10013567374950506</v>
      </c>
      <c r="G11" s="7">
        <v>15126.66</v>
      </c>
      <c r="H11" s="7">
        <v>14473.43</v>
      </c>
      <c r="I11" s="45">
        <f t="shared" si="2"/>
        <v>-4.3184020795073039E-2</v>
      </c>
      <c r="J11" s="7">
        <v>13628.29</v>
      </c>
      <c r="K11" s="7">
        <v>13204.93</v>
      </c>
      <c r="L11" s="45">
        <f t="shared" si="3"/>
        <v>-3.106479242810364E-2</v>
      </c>
    </row>
    <row r="12" spans="2:12" ht="31.05" customHeight="1" x14ac:dyDescent="0.3">
      <c r="B12" s="74"/>
      <c r="C12" s="27" t="s">
        <v>21</v>
      </c>
      <c r="D12" s="7">
        <v>1978.69</v>
      </c>
      <c r="E12" s="16">
        <v>1793.94</v>
      </c>
      <c r="F12" s="45">
        <f t="shared" si="1"/>
        <v>-9.3369855813694919E-2</v>
      </c>
      <c r="G12" s="7">
        <v>1525.62</v>
      </c>
      <c r="H12" s="16">
        <v>1408.14</v>
      </c>
      <c r="I12" s="45">
        <f t="shared" si="2"/>
        <v>-7.7004758721044425E-2</v>
      </c>
      <c r="J12" s="7">
        <v>1318.99</v>
      </c>
      <c r="K12" s="16">
        <v>1281.18</v>
      </c>
      <c r="L12" s="45">
        <f t="shared" si="3"/>
        <v>-2.8665873130198066E-2</v>
      </c>
    </row>
    <row r="13" spans="2:12" ht="31.05" customHeight="1" x14ac:dyDescent="0.3">
      <c r="B13" s="74"/>
      <c r="C13" s="38" t="s">
        <v>22</v>
      </c>
      <c r="D13" s="39">
        <v>1894.24</v>
      </c>
      <c r="E13" s="39">
        <v>1738.06</v>
      </c>
      <c r="F13" s="45">
        <f t="shared" si="1"/>
        <v>-8.244995354337363E-2</v>
      </c>
      <c r="G13" s="39">
        <v>2234.14</v>
      </c>
      <c r="H13" s="39">
        <v>2143.17</v>
      </c>
      <c r="I13" s="45">
        <f t="shared" si="2"/>
        <v>-4.0718128675911E-2</v>
      </c>
      <c r="J13" s="39">
        <v>2015.18</v>
      </c>
      <c r="K13" s="39">
        <v>1977.46</v>
      </c>
      <c r="L13" s="45">
        <f t="shared" si="3"/>
        <v>-1.871793090443535E-2</v>
      </c>
    </row>
    <row r="14" spans="2:12" ht="31.05" customHeight="1" thickBot="1" x14ac:dyDescent="0.35">
      <c r="B14" s="75"/>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43155.199999999997</v>
      </c>
      <c r="E15" s="42">
        <f>E4+E10</f>
        <v>42433.56</v>
      </c>
      <c r="F15" s="43">
        <f t="shared" ref="F15" si="5">(E15-D15)/D15</f>
        <v>-1.6721970932819206E-2</v>
      </c>
      <c r="G15" s="42">
        <f>G4+G10</f>
        <v>46642.33</v>
      </c>
      <c r="H15" s="42">
        <f>H4+H10</f>
        <v>46195.14</v>
      </c>
      <c r="I15" s="43">
        <f t="shared" ref="I15" si="6">(H15-G15)/G15</f>
        <v>-9.5876428128698187E-3</v>
      </c>
      <c r="J15" s="42">
        <f>J4+J10</f>
        <v>45217.71</v>
      </c>
      <c r="K15" s="42">
        <f>K4+K10</f>
        <v>44749.84</v>
      </c>
      <c r="L15" s="43">
        <f t="shared" ref="L15" si="7">(K15-J15)/J15</f>
        <v>-1.034705207318112E-2</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721.63999999999942</v>
      </c>
      <c r="E17" s="71"/>
      <c r="F17" s="72"/>
      <c r="G17" s="70">
        <f>G15-H15</f>
        <v>447.19000000000233</v>
      </c>
      <c r="H17" s="71"/>
      <c r="I17" s="72"/>
      <c r="J17" s="70">
        <f>J15-K15</f>
        <v>467.87000000000262</v>
      </c>
      <c r="K17" s="71"/>
      <c r="L17" s="72"/>
    </row>
    <row r="18" spans="2:12" ht="31.05" customHeight="1" x14ac:dyDescent="0.3">
      <c r="B18" s="6"/>
      <c r="C18" s="27" t="s">
        <v>36</v>
      </c>
      <c r="D18" s="55">
        <f>D4-E4</f>
        <v>-1516.1100000000006</v>
      </c>
      <c r="E18" s="56"/>
      <c r="F18" s="57"/>
      <c r="G18" s="55">
        <f>G4-H4</f>
        <v>-414.48999999999432</v>
      </c>
      <c r="H18" s="56"/>
      <c r="I18" s="57"/>
      <c r="J18" s="55">
        <f>J4-K4</f>
        <v>-31.020000000000437</v>
      </c>
      <c r="K18" s="56"/>
      <c r="L18" s="57"/>
    </row>
    <row r="19" spans="2:12" ht="31.05" customHeight="1" x14ac:dyDescent="0.3">
      <c r="B19" s="6"/>
      <c r="C19" s="27" t="s">
        <v>37</v>
      </c>
      <c r="D19" s="55">
        <f>D10-E10</f>
        <v>2237.75</v>
      </c>
      <c r="E19" s="56"/>
      <c r="F19" s="57"/>
      <c r="G19" s="55">
        <f>G10-H10</f>
        <v>861.68000000000029</v>
      </c>
      <c r="H19" s="56"/>
      <c r="I19" s="57"/>
      <c r="J19" s="55">
        <f>J10-K10</f>
        <v>498.88999999999942</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0.20491647333763041</v>
      </c>
      <c r="E21" s="65"/>
      <c r="F21" s="66"/>
      <c r="G21" s="64">
        <f>G17/H9</f>
        <v>0.33953396554473364</v>
      </c>
      <c r="H21" s="65"/>
      <c r="I21" s="66"/>
      <c r="J21" s="64">
        <f>J17/K9</f>
        <v>0.31253005931705408</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A0A40-E047-46D7-9ECA-1B31F3036563}">
  <dimension ref="B2:N97"/>
  <sheetViews>
    <sheetView topLeftCell="A4" zoomScale="60" zoomScaleNormal="60" workbookViewId="0">
      <selection activeCell="N22" sqref="N22"/>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76" t="s">
        <v>12</v>
      </c>
      <c r="C2" s="76"/>
      <c r="D2" s="73" t="s">
        <v>38</v>
      </c>
      <c r="E2" s="73"/>
      <c r="F2" s="73"/>
      <c r="G2" s="73" t="s">
        <v>39</v>
      </c>
      <c r="H2" s="73"/>
      <c r="I2" s="73"/>
      <c r="J2" s="73" t="s">
        <v>40</v>
      </c>
      <c r="K2" s="73"/>
      <c r="L2" s="73"/>
      <c r="N2" s="3" t="s">
        <v>69</v>
      </c>
    </row>
    <row r="3" spans="2:14" ht="31.05" customHeight="1" thickBot="1" x14ac:dyDescent="0.35">
      <c r="B3" s="77"/>
      <c r="C3" s="77"/>
      <c r="D3" s="34" t="s">
        <v>0</v>
      </c>
      <c r="E3" s="34" t="s">
        <v>1</v>
      </c>
      <c r="F3" s="35" t="s">
        <v>17</v>
      </c>
      <c r="G3" s="34" t="s">
        <v>0</v>
      </c>
      <c r="H3" s="34" t="s">
        <v>1</v>
      </c>
      <c r="I3" s="36" t="s">
        <v>17</v>
      </c>
      <c r="J3" s="34" t="s">
        <v>0</v>
      </c>
      <c r="K3" s="34" t="s">
        <v>1</v>
      </c>
      <c r="L3" s="35" t="s">
        <v>17</v>
      </c>
      <c r="N3" s="3" t="s">
        <v>70</v>
      </c>
    </row>
    <row r="4" spans="2:14" ht="31.05" customHeight="1" thickTop="1" x14ac:dyDescent="0.3">
      <c r="B4" s="74" t="s">
        <v>41</v>
      </c>
      <c r="C4" s="32" t="s">
        <v>42</v>
      </c>
      <c r="D4" s="33">
        <f>SUM(D5,D7:D9)</f>
        <v>20339.769999999997</v>
      </c>
      <c r="E4" s="33">
        <f>SUM(E5,E7:E9)</f>
        <v>21413.309999999998</v>
      </c>
      <c r="F4" s="45">
        <f>(E4-D4)/D4</f>
        <v>5.2780341173966128E-2</v>
      </c>
      <c r="G4" s="33">
        <f t="shared" ref="G4:J4" si="0">SUM(G5,G7:G9)</f>
        <v>27755.910000000003</v>
      </c>
      <c r="H4" s="33">
        <f t="shared" si="0"/>
        <v>27980.13</v>
      </c>
      <c r="I4" s="45">
        <f>(H4-G4)/G4</f>
        <v>8.0782795447887495E-3</v>
      </c>
      <c r="J4" s="33">
        <f t="shared" si="0"/>
        <v>28255.25</v>
      </c>
      <c r="K4" s="33">
        <f>SUM(K5,K7:K9)</f>
        <v>28249.89</v>
      </c>
      <c r="L4" s="45">
        <f>(K4-J4)/J4</f>
        <v>-1.896992594296841E-4</v>
      </c>
      <c r="N4" s="3" t="s">
        <v>71</v>
      </c>
    </row>
    <row r="5" spans="2:14" ht="31.05" customHeight="1" x14ac:dyDescent="0.3">
      <c r="B5" s="74"/>
      <c r="C5" s="27" t="s">
        <v>13</v>
      </c>
      <c r="D5" s="7">
        <v>13380.05</v>
      </c>
      <c r="E5" s="7">
        <v>13364.83</v>
      </c>
      <c r="F5" s="45">
        <f t="shared" ref="F5:F13" si="1">(E5-D5)/D5</f>
        <v>-1.1375144338025155E-3</v>
      </c>
      <c r="G5" s="7">
        <v>13735.76</v>
      </c>
      <c r="H5" s="7">
        <v>13670.55</v>
      </c>
      <c r="I5" s="45">
        <f t="shared" ref="I5:I13" si="2">(H5-G5)/G5</f>
        <v>-4.747462098930161E-3</v>
      </c>
      <c r="J5" s="7">
        <v>13988.82</v>
      </c>
      <c r="K5" s="7">
        <v>13917.91</v>
      </c>
      <c r="L5" s="45">
        <f t="shared" ref="L5:L13" si="3">(K5-J5)/J5</f>
        <v>-5.0690479969003714E-3</v>
      </c>
      <c r="N5" s="3" t="s">
        <v>72</v>
      </c>
    </row>
    <row r="6" spans="2:14"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4" ht="31.05" customHeight="1" x14ac:dyDescent="0.3">
      <c r="B7" s="74"/>
      <c r="C7" s="28" t="s">
        <v>19</v>
      </c>
      <c r="D7" s="7">
        <v>4833.58</v>
      </c>
      <c r="E7" s="7">
        <v>4796.41</v>
      </c>
      <c r="F7" s="45">
        <f t="shared" si="1"/>
        <v>-7.6899523748443334E-3</v>
      </c>
      <c r="G7" s="7">
        <v>10208.75</v>
      </c>
      <c r="H7" s="7">
        <v>10108.1</v>
      </c>
      <c r="I7" s="45">
        <f t="shared" si="2"/>
        <v>-9.8591894208399297E-3</v>
      </c>
      <c r="J7" s="7">
        <v>10160.780000000001</v>
      </c>
      <c r="K7" s="7">
        <v>9933.15</v>
      </c>
      <c r="L7" s="45">
        <f t="shared" si="3"/>
        <v>-2.2402807658467264E-2</v>
      </c>
      <c r="N7" s="3" t="s">
        <v>73</v>
      </c>
    </row>
    <row r="8" spans="2:14" ht="31.05" customHeight="1" x14ac:dyDescent="0.3">
      <c r="B8" s="74"/>
      <c r="C8" s="28" t="s">
        <v>15</v>
      </c>
      <c r="D8" s="9"/>
      <c r="E8" s="9">
        <v>3078.44</v>
      </c>
      <c r="F8" s="45" t="s">
        <v>14</v>
      </c>
      <c r="G8" s="46"/>
      <c r="H8" s="7">
        <v>1999.93</v>
      </c>
      <c r="I8" s="45" t="s">
        <v>14</v>
      </c>
      <c r="J8" s="7"/>
      <c r="K8" s="7">
        <v>1603.41</v>
      </c>
      <c r="L8" s="45" t="s">
        <v>14</v>
      </c>
      <c r="N8" s="3" t="s">
        <v>74</v>
      </c>
    </row>
    <row r="9" spans="2:14" ht="31.05" customHeight="1" thickBot="1" x14ac:dyDescent="0.35">
      <c r="B9" s="75"/>
      <c r="C9" s="29" t="s">
        <v>16</v>
      </c>
      <c r="D9" s="12">
        <v>2126.14</v>
      </c>
      <c r="E9" s="12">
        <v>173.63</v>
      </c>
      <c r="F9" s="45">
        <f t="shared" si="1"/>
        <v>-0.91833557526785625</v>
      </c>
      <c r="G9" s="17">
        <v>3811.4</v>
      </c>
      <c r="H9" s="17">
        <v>2201.5500000000002</v>
      </c>
      <c r="I9" s="45">
        <f t="shared" si="2"/>
        <v>-0.42237760403001517</v>
      </c>
      <c r="J9" s="17">
        <v>4105.6499999999996</v>
      </c>
      <c r="K9" s="17">
        <v>2795.42</v>
      </c>
      <c r="L9" s="45">
        <f t="shared" si="3"/>
        <v>-0.31912851801785336</v>
      </c>
      <c r="N9" s="3" t="s">
        <v>75</v>
      </c>
    </row>
    <row r="10" spans="2:14" ht="31.05" customHeight="1" thickTop="1" x14ac:dyDescent="0.3">
      <c r="B10" s="78" t="s">
        <v>43</v>
      </c>
      <c r="C10" s="27" t="s">
        <v>44</v>
      </c>
      <c r="D10" s="15">
        <f>SUM(D11:D13)</f>
        <v>22815.43</v>
      </c>
      <c r="E10" s="15">
        <f>SUM(E11:E13)</f>
        <v>21158.710000000003</v>
      </c>
      <c r="F10" s="45">
        <f t="shared" si="1"/>
        <v>-7.2614016040898524E-2</v>
      </c>
      <c r="G10" s="15">
        <f>SUM(G11:G13)</f>
        <v>18886.419999999998</v>
      </c>
      <c r="H10" s="15">
        <f t="shared" ref="H10:K10" si="4">SUM(H11:H13)</f>
        <v>18481.5</v>
      </c>
      <c r="I10" s="45">
        <f t="shared" si="2"/>
        <v>-2.1439743477059087E-2</v>
      </c>
      <c r="J10" s="15">
        <f>SUM(J11:J13)</f>
        <v>16962.46</v>
      </c>
      <c r="K10" s="15">
        <f t="shared" si="4"/>
        <v>16819.120000000003</v>
      </c>
      <c r="L10" s="45">
        <f t="shared" si="3"/>
        <v>-8.4504252331322523E-3</v>
      </c>
      <c r="N10" s="3" t="s">
        <v>76</v>
      </c>
    </row>
    <row r="11" spans="2:14" ht="31.05" customHeight="1" x14ac:dyDescent="0.3">
      <c r="B11" s="74"/>
      <c r="C11" s="27" t="s">
        <v>20</v>
      </c>
      <c r="D11" s="7">
        <v>18942.5</v>
      </c>
      <c r="E11" s="7">
        <v>17499.080000000002</v>
      </c>
      <c r="F11" s="45">
        <f t="shared" si="1"/>
        <v>-7.6200079187013242E-2</v>
      </c>
      <c r="G11" s="7">
        <v>15126.66</v>
      </c>
      <c r="H11" s="7">
        <v>14832.72</v>
      </c>
      <c r="I11" s="45">
        <f t="shared" si="2"/>
        <v>-1.9431916893749217E-2</v>
      </c>
      <c r="J11" s="7">
        <v>13628.29</v>
      </c>
      <c r="K11" s="7">
        <v>13507.54</v>
      </c>
      <c r="L11" s="45">
        <f t="shared" si="3"/>
        <v>-8.8602458562299438E-3</v>
      </c>
      <c r="N11" s="3" t="s">
        <v>77</v>
      </c>
    </row>
    <row r="12" spans="2:14" ht="31.05" customHeight="1" x14ac:dyDescent="0.3">
      <c r="B12" s="74"/>
      <c r="C12" s="27" t="s">
        <v>21</v>
      </c>
      <c r="D12" s="7">
        <v>1978.69</v>
      </c>
      <c r="E12" s="16">
        <v>1874.27</v>
      </c>
      <c r="F12" s="45">
        <f t="shared" si="1"/>
        <v>-5.2772288736487309E-2</v>
      </c>
      <c r="G12" s="7">
        <v>1525.62</v>
      </c>
      <c r="H12" s="16">
        <v>1456.14</v>
      </c>
      <c r="I12" s="45">
        <f t="shared" si="2"/>
        <v>-4.5542140244621727E-2</v>
      </c>
      <c r="J12" s="7">
        <v>1318.99</v>
      </c>
      <c r="K12" s="16">
        <v>1311.94</v>
      </c>
      <c r="L12" s="45">
        <f t="shared" si="3"/>
        <v>-5.3449988248583796E-3</v>
      </c>
      <c r="N12" s="3" t="s">
        <v>78</v>
      </c>
    </row>
    <row r="13" spans="2:14" ht="31.05" customHeight="1" thickBot="1" x14ac:dyDescent="0.35">
      <c r="B13" s="75"/>
      <c r="C13" s="30" t="s">
        <v>22</v>
      </c>
      <c r="D13" s="39">
        <v>1894.24</v>
      </c>
      <c r="E13" s="17">
        <v>1785.36</v>
      </c>
      <c r="F13" s="45">
        <f t="shared" si="1"/>
        <v>-5.7479516851085453E-2</v>
      </c>
      <c r="G13" s="39">
        <v>2234.14</v>
      </c>
      <c r="H13" s="17">
        <v>2192.64</v>
      </c>
      <c r="I13" s="45">
        <f t="shared" si="2"/>
        <v>-1.8575380235795431E-2</v>
      </c>
      <c r="J13" s="39">
        <v>2015.18</v>
      </c>
      <c r="K13" s="17">
        <v>1999.64</v>
      </c>
      <c r="L13" s="45">
        <f t="shared" si="3"/>
        <v>-7.711469943131613E-3</v>
      </c>
      <c r="N13" s="3" t="s">
        <v>79</v>
      </c>
    </row>
    <row r="14" spans="2:14" ht="31.05" customHeight="1" thickTop="1" x14ac:dyDescent="0.3">
      <c r="B14" s="37"/>
      <c r="C14" s="38" t="s">
        <v>48</v>
      </c>
      <c r="D14" s="39">
        <v>0</v>
      </c>
      <c r="E14" s="39">
        <v>0</v>
      </c>
      <c r="F14" s="45" t="s">
        <v>14</v>
      </c>
      <c r="G14" s="39">
        <v>0</v>
      </c>
      <c r="H14" s="39">
        <v>0</v>
      </c>
      <c r="I14" s="45" t="s">
        <v>14</v>
      </c>
      <c r="J14" s="39">
        <v>0</v>
      </c>
      <c r="K14" s="39">
        <v>0</v>
      </c>
      <c r="L14" s="45" t="s">
        <v>14</v>
      </c>
      <c r="N14" s="3" t="s">
        <v>80</v>
      </c>
    </row>
    <row r="15" spans="2:14" s="21" customFormat="1" ht="31.05" customHeight="1" x14ac:dyDescent="0.3">
      <c r="B15" s="18" t="s">
        <v>35</v>
      </c>
      <c r="C15" s="18"/>
      <c r="D15" s="19">
        <f>D4+D10</f>
        <v>43155.199999999997</v>
      </c>
      <c r="E15" s="19">
        <f>E4+E10</f>
        <v>42572.020000000004</v>
      </c>
      <c r="F15" s="20">
        <f t="shared" ref="F15" si="5">(E15-D15)/D15</f>
        <v>-1.3513551090019118E-2</v>
      </c>
      <c r="G15" s="19">
        <f>G4+G10</f>
        <v>46642.33</v>
      </c>
      <c r="H15" s="19">
        <f>H4+H10</f>
        <v>46461.630000000005</v>
      </c>
      <c r="I15" s="20">
        <f t="shared" ref="I15" si="6">(H15-G15)/G15</f>
        <v>-3.8741632332689444E-3</v>
      </c>
      <c r="J15" s="19">
        <f>J4+J10</f>
        <v>45217.71</v>
      </c>
      <c r="K15" s="19">
        <f>K4+K10</f>
        <v>45069.01</v>
      </c>
      <c r="L15" s="20">
        <f t="shared" ref="L15" si="7">(K15-J15)/J15</f>
        <v>-3.288534514463406E-3</v>
      </c>
      <c r="N15" s="3"/>
    </row>
    <row r="16" spans="2:14"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583.17999999999302</v>
      </c>
      <c r="E17" s="71"/>
      <c r="F17" s="72"/>
      <c r="G17" s="70">
        <f>G15-H15</f>
        <v>180.69999999999709</v>
      </c>
      <c r="H17" s="71"/>
      <c r="I17" s="72"/>
      <c r="J17" s="70">
        <f>J15-K15</f>
        <v>148.69999999999709</v>
      </c>
      <c r="K17" s="71"/>
      <c r="L17" s="72"/>
    </row>
    <row r="18" spans="2:12" ht="31.05" customHeight="1" x14ac:dyDescent="0.3">
      <c r="B18" s="6"/>
      <c r="C18" s="27" t="s">
        <v>36</v>
      </c>
      <c r="D18" s="55">
        <f>D4-E4</f>
        <v>-1073.5400000000009</v>
      </c>
      <c r="E18" s="56"/>
      <c r="F18" s="57"/>
      <c r="G18" s="55">
        <f>G4-H4</f>
        <v>-224.21999999999753</v>
      </c>
      <c r="H18" s="56"/>
      <c r="I18" s="57"/>
      <c r="J18" s="55">
        <f>J4-K4</f>
        <v>5.3600000000005821</v>
      </c>
      <c r="K18" s="56"/>
      <c r="L18" s="57"/>
    </row>
    <row r="19" spans="2:12" ht="31.05" customHeight="1" x14ac:dyDescent="0.3">
      <c r="B19" s="6"/>
      <c r="C19" s="27" t="s">
        <v>37</v>
      </c>
      <c r="D19" s="55">
        <f>D10-E10</f>
        <v>1656.7199999999975</v>
      </c>
      <c r="E19" s="56"/>
      <c r="F19" s="57"/>
      <c r="G19" s="55">
        <f>G10-H10</f>
        <v>404.91999999999825</v>
      </c>
      <c r="H19" s="56"/>
      <c r="I19" s="57"/>
      <c r="J19" s="55">
        <f>J10-K10</f>
        <v>143.33999999999651</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0.18944010602772607</v>
      </c>
      <c r="E21" s="65"/>
      <c r="F21" s="66"/>
      <c r="G21" s="64">
        <f>G17/H9</f>
        <v>8.2078535577205639E-2</v>
      </c>
      <c r="H21" s="65"/>
      <c r="I21" s="66"/>
      <c r="J21" s="64">
        <f>J17/K9</f>
        <v>5.3194153293600638E-2</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10:B13"/>
    <mergeCell ref="B2:C3"/>
    <mergeCell ref="D2:F2"/>
    <mergeCell ref="G2:I2"/>
    <mergeCell ref="J2:L2"/>
    <mergeCell ref="B4:B9"/>
    <mergeCell ref="B16:L16"/>
    <mergeCell ref="D17:F17"/>
    <mergeCell ref="G17:I17"/>
    <mergeCell ref="J17:L17"/>
    <mergeCell ref="D18:F18"/>
    <mergeCell ref="G18:I18"/>
    <mergeCell ref="J18:L18"/>
    <mergeCell ref="B61:B62"/>
    <mergeCell ref="C61:D61"/>
    <mergeCell ref="D19:F19"/>
    <mergeCell ref="G19:I19"/>
    <mergeCell ref="J19:L19"/>
    <mergeCell ref="B20:L20"/>
    <mergeCell ref="B21:C21"/>
    <mergeCell ref="D21:F21"/>
    <mergeCell ref="G21:I21"/>
    <mergeCell ref="J21:L2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7222-A174-4930-84FF-7AAD3A2C061D}">
  <dimension ref="B2:L97"/>
  <sheetViews>
    <sheetView zoomScale="60" zoomScaleNormal="60" workbookViewId="0">
      <selection activeCell="R11" sqref="R11"/>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20339.769999999997</v>
      </c>
      <c r="E4" s="33">
        <f>SUM(E5,E7:E9)</f>
        <v>21606.65</v>
      </c>
      <c r="F4" s="45">
        <f>(E4-D4)/D4</f>
        <v>6.2285856723060529E-2</v>
      </c>
      <c r="G4" s="33">
        <f t="shared" ref="G4:J4" si="0">SUM(G5,G7:G9)</f>
        <v>27755.910000000003</v>
      </c>
      <c r="H4" s="33">
        <f t="shared" si="0"/>
        <v>28002.38</v>
      </c>
      <c r="I4" s="45">
        <f>(H4-G4)/G4</f>
        <v>8.8799106208370584E-3</v>
      </c>
      <c r="J4" s="33">
        <f t="shared" si="0"/>
        <v>28255.25</v>
      </c>
      <c r="K4" s="33">
        <f>SUM(K5,K7:K9)</f>
        <v>28268.240000000002</v>
      </c>
      <c r="L4" s="45">
        <f>(K4-J4)/J4</f>
        <v>4.5973757089396133E-4</v>
      </c>
    </row>
    <row r="5" spans="2:12" ht="31.05" customHeight="1" x14ac:dyDescent="0.3">
      <c r="B5" s="74"/>
      <c r="C5" s="27" t="s">
        <v>13</v>
      </c>
      <c r="D5" s="7">
        <v>13380.05</v>
      </c>
      <c r="E5" s="7">
        <v>13366.37</v>
      </c>
      <c r="F5" s="45">
        <f t="shared" ref="F5:F13" si="1">(E5-D5)/D5</f>
        <v>-1.0224177039696019E-3</v>
      </c>
      <c r="G5" s="7">
        <v>13735.76</v>
      </c>
      <c r="H5" s="7">
        <v>13669.6</v>
      </c>
      <c r="I5" s="45">
        <f t="shared" ref="I5:I13" si="2">(H5-G5)/G5</f>
        <v>-4.8166246352586133E-3</v>
      </c>
      <c r="J5" s="7">
        <v>13988.82</v>
      </c>
      <c r="K5" s="7">
        <v>13912.73</v>
      </c>
      <c r="L5" s="45">
        <f t="shared" ref="L5:L13" si="3">(K5-J5)/J5</f>
        <v>-5.439343704472582E-3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74"/>
      <c r="C7" s="28" t="s">
        <v>19</v>
      </c>
      <c r="D7" s="7">
        <v>4833.58</v>
      </c>
      <c r="E7" s="7">
        <v>4801.8900000000003</v>
      </c>
      <c r="F7" s="45">
        <f t="shared" si="1"/>
        <v>-6.5562171309877151E-3</v>
      </c>
      <c r="G7" s="7">
        <v>10208.75</v>
      </c>
      <c r="H7" s="7">
        <v>10057.52</v>
      </c>
      <c r="I7" s="45">
        <f t="shared" si="2"/>
        <v>-1.4813762703563077E-2</v>
      </c>
      <c r="J7" s="7">
        <v>10160.780000000001</v>
      </c>
      <c r="K7" s="7">
        <v>9887.5300000000007</v>
      </c>
      <c r="L7" s="45">
        <f t="shared" si="3"/>
        <v>-2.6892620448430139E-2</v>
      </c>
    </row>
    <row r="8" spans="2:12" ht="31.05" customHeight="1" x14ac:dyDescent="0.3">
      <c r="B8" s="74"/>
      <c r="C8" s="28" t="s">
        <v>15</v>
      </c>
      <c r="D8" s="9"/>
      <c r="E8" s="9">
        <v>3357.17</v>
      </c>
      <c r="F8" s="45" t="s">
        <v>14</v>
      </c>
      <c r="G8" s="46"/>
      <c r="H8" s="7">
        <v>2620.7399999999998</v>
      </c>
      <c r="I8" s="45" t="s">
        <v>14</v>
      </c>
      <c r="J8" s="7"/>
      <c r="K8" s="7">
        <v>2486.79</v>
      </c>
      <c r="L8" s="45" t="s">
        <v>14</v>
      </c>
    </row>
    <row r="9" spans="2:12" ht="31.05" customHeight="1" thickBot="1" x14ac:dyDescent="0.35">
      <c r="B9" s="75"/>
      <c r="C9" s="29" t="s">
        <v>16</v>
      </c>
      <c r="D9" s="12">
        <v>2126.14</v>
      </c>
      <c r="E9" s="12">
        <v>81.22</v>
      </c>
      <c r="F9" s="45">
        <f t="shared" si="1"/>
        <v>-0.96179931707225297</v>
      </c>
      <c r="G9" s="17">
        <v>3811.4</v>
      </c>
      <c r="H9" s="17">
        <v>1654.52</v>
      </c>
      <c r="I9" s="45">
        <f t="shared" si="2"/>
        <v>-0.56590229312063811</v>
      </c>
      <c r="J9" s="17">
        <v>4105.6499999999996</v>
      </c>
      <c r="K9" s="17">
        <v>1981.19</v>
      </c>
      <c r="L9" s="45">
        <f t="shared" si="3"/>
        <v>-0.51744790715233879</v>
      </c>
    </row>
    <row r="10" spans="2:12" ht="31.05" customHeight="1" thickTop="1" x14ac:dyDescent="0.3">
      <c r="B10" s="78" t="s">
        <v>43</v>
      </c>
      <c r="C10" s="27" t="s">
        <v>44</v>
      </c>
      <c r="D10" s="15">
        <f>SUM(D11:D13)</f>
        <v>22815.43</v>
      </c>
      <c r="E10" s="15">
        <f>SUM(E11:E13)</f>
        <v>20934.620000000003</v>
      </c>
      <c r="F10" s="45">
        <f t="shared" si="1"/>
        <v>-8.243587782478777E-2</v>
      </c>
      <c r="G10" s="15">
        <f>SUM(G11:G13)</f>
        <v>18886.419999999998</v>
      </c>
      <c r="H10" s="15">
        <f t="shared" ref="H10:K10" si="4">SUM(H11:H13)</f>
        <v>18411.8</v>
      </c>
      <c r="I10" s="45">
        <f t="shared" si="2"/>
        <v>-2.5130225844813312E-2</v>
      </c>
      <c r="J10" s="15">
        <f>SUM(J11:J13)</f>
        <v>16962.46</v>
      </c>
      <c r="K10" s="15">
        <f t="shared" si="4"/>
        <v>16723.759999999998</v>
      </c>
      <c r="L10" s="45">
        <f t="shared" si="3"/>
        <v>-1.4072251312604466E-2</v>
      </c>
    </row>
    <row r="11" spans="2:12" ht="31.05" customHeight="1" x14ac:dyDescent="0.3">
      <c r="B11" s="74"/>
      <c r="C11" s="27" t="s">
        <v>20</v>
      </c>
      <c r="D11" s="7">
        <v>18942.5</v>
      </c>
      <c r="E11" s="7">
        <v>17357.27</v>
      </c>
      <c r="F11" s="45">
        <f t="shared" si="1"/>
        <v>-8.3686419427213915E-2</v>
      </c>
      <c r="G11" s="7">
        <v>15126.66</v>
      </c>
      <c r="H11" s="7">
        <v>14766.73</v>
      </c>
      <c r="I11" s="45">
        <f t="shared" si="2"/>
        <v>-2.3794413307365956E-2</v>
      </c>
      <c r="J11" s="7">
        <v>13628.29</v>
      </c>
      <c r="K11" s="7">
        <v>13419.59</v>
      </c>
      <c r="L11" s="45">
        <f t="shared" si="3"/>
        <v>-1.5313733417765598E-2</v>
      </c>
    </row>
    <row r="12" spans="2:12" ht="31.05" customHeight="1" x14ac:dyDescent="0.3">
      <c r="B12" s="74"/>
      <c r="C12" s="27" t="s">
        <v>21</v>
      </c>
      <c r="D12" s="7">
        <v>1978.69</v>
      </c>
      <c r="E12" s="16">
        <v>1839.29</v>
      </c>
      <c r="F12" s="45">
        <f t="shared" si="1"/>
        <v>-7.0450651693797453E-2</v>
      </c>
      <c r="G12" s="7">
        <v>1525.62</v>
      </c>
      <c r="H12" s="16">
        <v>1456.69</v>
      </c>
      <c r="I12" s="45">
        <f t="shared" si="2"/>
        <v>-4.5181631074579412E-2</v>
      </c>
      <c r="J12" s="7">
        <v>1318.99</v>
      </c>
      <c r="K12" s="16">
        <v>1309.73</v>
      </c>
      <c r="L12" s="45">
        <f t="shared" si="3"/>
        <v>-7.0205232791757258E-3</v>
      </c>
    </row>
    <row r="13" spans="2:12" ht="31.05" customHeight="1" x14ac:dyDescent="0.3">
      <c r="B13" s="74"/>
      <c r="C13" s="38" t="s">
        <v>22</v>
      </c>
      <c r="D13" s="39">
        <v>1894.24</v>
      </c>
      <c r="E13" s="39">
        <v>1738.06</v>
      </c>
      <c r="F13" s="45">
        <f t="shared" si="1"/>
        <v>-8.244995354337363E-2</v>
      </c>
      <c r="G13" s="39">
        <v>2234.14</v>
      </c>
      <c r="H13" s="39">
        <v>2188.38</v>
      </c>
      <c r="I13" s="45">
        <f t="shared" si="2"/>
        <v>-2.0482154206987818E-2</v>
      </c>
      <c r="J13" s="39">
        <v>2015.18</v>
      </c>
      <c r="K13" s="39">
        <v>1994.44</v>
      </c>
      <c r="L13" s="45">
        <f t="shared" si="3"/>
        <v>-1.0291884595916994E-2</v>
      </c>
    </row>
    <row r="14" spans="2:12" ht="31.05" customHeight="1" thickBot="1" x14ac:dyDescent="0.35">
      <c r="B14" s="75"/>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43155.199999999997</v>
      </c>
      <c r="E15" s="42">
        <f>E4+E10</f>
        <v>42541.270000000004</v>
      </c>
      <c r="F15" s="43">
        <f t="shared" ref="F15" si="5">(E15-D15)/D15</f>
        <v>-1.4226095580601944E-2</v>
      </c>
      <c r="G15" s="42">
        <f>G4+G10</f>
        <v>46642.33</v>
      </c>
      <c r="H15" s="42">
        <f>H4+H10</f>
        <v>46414.18</v>
      </c>
      <c r="I15" s="43">
        <f t="shared" ref="I15" si="6">(H15-G15)/G15</f>
        <v>-4.8914794779763675E-3</v>
      </c>
      <c r="J15" s="42">
        <f>J4+J10</f>
        <v>45217.71</v>
      </c>
      <c r="K15" s="42">
        <f>K4+K10</f>
        <v>44992</v>
      </c>
      <c r="L15" s="43">
        <f t="shared" ref="L15" si="7">(K15-J15)/J15</f>
        <v>-4.9916282801583519E-3</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613.92999999999302</v>
      </c>
      <c r="E17" s="71"/>
      <c r="F17" s="72"/>
      <c r="G17" s="70">
        <f>G15-H15</f>
        <v>228.15000000000146</v>
      </c>
      <c r="H17" s="71"/>
      <c r="I17" s="72"/>
      <c r="J17" s="70">
        <f>J15-K15</f>
        <v>225.70999999999913</v>
      </c>
      <c r="K17" s="71"/>
      <c r="L17" s="72"/>
    </row>
    <row r="18" spans="2:12" ht="31.05" customHeight="1" x14ac:dyDescent="0.3">
      <c r="B18" s="6"/>
      <c r="C18" s="27" t="s">
        <v>36</v>
      </c>
      <c r="D18" s="55">
        <f>D4-E4</f>
        <v>-1266.8800000000047</v>
      </c>
      <c r="E18" s="56"/>
      <c r="F18" s="57"/>
      <c r="G18" s="55">
        <f>G4-H4</f>
        <v>-246.46999999999753</v>
      </c>
      <c r="H18" s="56"/>
      <c r="I18" s="57"/>
      <c r="J18" s="55">
        <f>J4-K4</f>
        <v>-12.990000000001601</v>
      </c>
      <c r="K18" s="56"/>
      <c r="L18" s="57"/>
    </row>
    <row r="19" spans="2:12" ht="31.05" customHeight="1" x14ac:dyDescent="0.3">
      <c r="B19" s="6"/>
      <c r="C19" s="27" t="s">
        <v>37</v>
      </c>
      <c r="D19" s="55">
        <f>D10-E10</f>
        <v>1880.8099999999977</v>
      </c>
      <c r="E19" s="56"/>
      <c r="F19" s="57"/>
      <c r="G19" s="55">
        <f>G10-H10</f>
        <v>474.61999999999898</v>
      </c>
      <c r="H19" s="56"/>
      <c r="I19" s="57"/>
      <c r="J19" s="55">
        <f>J10-K10</f>
        <v>238.70000000000073</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0.18287128742363151</v>
      </c>
      <c r="E21" s="65"/>
      <c r="F21" s="66"/>
      <c r="G21" s="64">
        <f>G17/H9</f>
        <v>0.13789497860406733</v>
      </c>
      <c r="H21" s="65"/>
      <c r="I21" s="66"/>
      <c r="J21" s="64">
        <f>J17/K9</f>
        <v>0.11392647853057966</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AE58-27F8-4F52-B8F4-075E0DF81CDC}">
  <dimension ref="B2:L97"/>
  <sheetViews>
    <sheetView zoomScale="60" zoomScaleNormal="60" workbookViewId="0">
      <selection activeCell="D21" sqref="D21:F21"/>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20339.769999999997</v>
      </c>
      <c r="E4" s="33">
        <f>SUM(E5,E7:E9)</f>
        <v>21611.075046759997</v>
      </c>
      <c r="F4" s="45">
        <f>(E4-D4)/D4</f>
        <v>6.2503413104474673E-2</v>
      </c>
      <c r="G4" s="33">
        <f t="shared" ref="G4:J4" si="0">SUM(G5,G7:G9)</f>
        <v>27755.910000000003</v>
      </c>
      <c r="H4" s="33">
        <f t="shared" si="0"/>
        <v>28030.932272030001</v>
      </c>
      <c r="I4" s="45">
        <f>(H4-G4)/G4</f>
        <v>9.9086022411081845E-3</v>
      </c>
      <c r="J4" s="33">
        <f t="shared" si="0"/>
        <v>28255.25</v>
      </c>
      <c r="K4" s="33">
        <f>SUM(K5,K7:K9)</f>
        <v>28241.424922940001</v>
      </c>
      <c r="L4" s="45">
        <f>(K4-J4)/J4</f>
        <v>-4.8929232832832395E-4</v>
      </c>
    </row>
    <row r="5" spans="2:12" ht="31.05" customHeight="1" x14ac:dyDescent="0.3">
      <c r="B5" s="74"/>
      <c r="C5" s="27" t="s">
        <v>13</v>
      </c>
      <c r="D5" s="7">
        <v>13380.05</v>
      </c>
      <c r="E5" s="7">
        <f>13364835046.76/1000000</f>
        <v>13364.835046759999</v>
      </c>
      <c r="F5" s="45">
        <f t="shared" ref="F5:F13" si="1">(E5-D5)/D5</f>
        <v>-1.137137248366029E-3</v>
      </c>
      <c r="G5" s="7">
        <v>13735.76</v>
      </c>
      <c r="H5" s="7">
        <f>13668052272.03/1000000</f>
        <v>13668.052272030001</v>
      </c>
      <c r="I5" s="45">
        <f t="shared" ref="I5:I13" si="2">(H5-G5)/G5</f>
        <v>-4.9293033636288643E-3</v>
      </c>
      <c r="J5" s="7">
        <v>13988.82</v>
      </c>
      <c r="K5" s="7">
        <f>13913514922.94/1000000</f>
        <v>13913.514922940001</v>
      </c>
      <c r="L5" s="45">
        <f t="shared" ref="L5:L13" si="3">(K5-J5)/J5</f>
        <v>-5.3832329717587645E-3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74"/>
      <c r="C7" s="28" t="s">
        <v>19</v>
      </c>
      <c r="D7" s="7">
        <v>4833.58</v>
      </c>
      <c r="E7" s="7">
        <v>4795.58</v>
      </c>
      <c r="F7" s="45">
        <f t="shared" si="1"/>
        <v>-7.8616677493700323E-3</v>
      </c>
      <c r="G7" s="7">
        <v>10208.75</v>
      </c>
      <c r="H7" s="7">
        <v>10087.14</v>
      </c>
      <c r="I7" s="45">
        <f t="shared" si="2"/>
        <v>-1.1912330108975201E-2</v>
      </c>
      <c r="J7" s="7">
        <v>10160.780000000001</v>
      </c>
      <c r="K7" s="7">
        <v>9863.01</v>
      </c>
      <c r="L7" s="45">
        <f t="shared" si="3"/>
        <v>-2.9305821009804407E-2</v>
      </c>
    </row>
    <row r="8" spans="2:12" ht="31.05" customHeight="1" x14ac:dyDescent="0.3">
      <c r="B8" s="74"/>
      <c r="C8" s="28" t="s">
        <v>15</v>
      </c>
      <c r="D8" s="9">
        <v>0</v>
      </c>
      <c r="E8" s="9">
        <v>3277.13</v>
      </c>
      <c r="F8" s="45" t="s">
        <v>14</v>
      </c>
      <c r="G8" s="10"/>
      <c r="H8" s="7">
        <v>2557.88</v>
      </c>
      <c r="I8" s="45" t="s">
        <v>14</v>
      </c>
      <c r="J8" s="11"/>
      <c r="K8" s="7">
        <v>2267.36</v>
      </c>
      <c r="L8" s="45" t="s">
        <v>14</v>
      </c>
    </row>
    <row r="9" spans="2:12" ht="31.05" customHeight="1" thickBot="1" x14ac:dyDescent="0.35">
      <c r="B9" s="75"/>
      <c r="C9" s="29" t="s">
        <v>16</v>
      </c>
      <c r="D9" s="12">
        <v>2126.14</v>
      </c>
      <c r="E9" s="12">
        <v>173.53</v>
      </c>
      <c r="F9" s="45">
        <f t="shared" si="1"/>
        <v>-0.91838260885924727</v>
      </c>
      <c r="G9" s="17">
        <v>3811.4</v>
      </c>
      <c r="H9" s="17">
        <v>1717.86</v>
      </c>
      <c r="I9" s="45">
        <f t="shared" si="2"/>
        <v>-0.54928372776407619</v>
      </c>
      <c r="J9" s="17">
        <v>4105.6499999999996</v>
      </c>
      <c r="K9" s="17">
        <v>2197.54</v>
      </c>
      <c r="L9" s="45">
        <f t="shared" si="3"/>
        <v>-0.4647522316807326</v>
      </c>
    </row>
    <row r="10" spans="2:12" ht="31.05" customHeight="1" thickTop="1" x14ac:dyDescent="0.3">
      <c r="B10" s="78" t="s">
        <v>43</v>
      </c>
      <c r="C10" s="27" t="s">
        <v>44</v>
      </c>
      <c r="D10" s="15">
        <f>SUM(D11:D13)</f>
        <v>22815.43</v>
      </c>
      <c r="E10" s="15">
        <f>SUM(E11:E13)</f>
        <v>20911.972389050003</v>
      </c>
      <c r="F10" s="45">
        <f t="shared" si="1"/>
        <v>-8.3428522318010123E-2</v>
      </c>
      <c r="G10" s="15">
        <f>SUM(G11:G13)</f>
        <v>18886.419999999998</v>
      </c>
      <c r="H10" s="15">
        <f>SUM(H11:H13)</f>
        <v>18324.164066950001</v>
      </c>
      <c r="I10" s="45">
        <f t="shared" si="2"/>
        <v>-2.9770381737248094E-2</v>
      </c>
      <c r="J10" s="15">
        <f>SUM(J11:J13)</f>
        <v>16962.46</v>
      </c>
      <c r="K10" s="15">
        <f>SUM(K11:K13)</f>
        <v>16707.406251369997</v>
      </c>
      <c r="L10" s="45">
        <f t="shared" si="3"/>
        <v>-1.5036365517147973E-2</v>
      </c>
    </row>
    <row r="11" spans="2:12" ht="31.05" customHeight="1" x14ac:dyDescent="0.3">
      <c r="B11" s="74"/>
      <c r="C11" s="27" t="s">
        <v>20</v>
      </c>
      <c r="D11" s="7">
        <v>18942.5</v>
      </c>
      <c r="E11" s="7">
        <f>17322976691.9/1000000</f>
        <v>17322.976691900003</v>
      </c>
      <c r="F11" s="45">
        <f t="shared" si="1"/>
        <v>-8.5496809190972523E-2</v>
      </c>
      <c r="G11" s="7">
        <v>15126.66</v>
      </c>
      <c r="H11" s="7">
        <f>14703414958.29/1000000</f>
        <v>14703.414958290001</v>
      </c>
      <c r="I11" s="45">
        <f t="shared" si="2"/>
        <v>-2.7980072382799571E-2</v>
      </c>
      <c r="J11" s="7">
        <v>13628.29</v>
      </c>
      <c r="K11" s="7">
        <f>13413853554.22/1000000</f>
        <v>13413.853554219999</v>
      </c>
      <c r="L11" s="45">
        <f t="shared" si="3"/>
        <v>-1.573465532212787E-2</v>
      </c>
    </row>
    <row r="12" spans="2:12" ht="31.05" customHeight="1" x14ac:dyDescent="0.3">
      <c r="B12" s="74"/>
      <c r="C12" s="27" t="s">
        <v>21</v>
      </c>
      <c r="D12" s="7">
        <v>1978.69</v>
      </c>
      <c r="E12" s="16">
        <f>1850253848.39/1000000</f>
        <v>1850.25384839</v>
      </c>
      <c r="F12" s="45">
        <f t="shared" si="1"/>
        <v>-6.490968853635487E-2</v>
      </c>
      <c r="G12" s="7">
        <v>1525.62</v>
      </c>
      <c r="H12" s="16">
        <f>1446013432.81/1000000</f>
        <v>1446.01343281</v>
      </c>
      <c r="I12" s="45">
        <f t="shared" si="2"/>
        <v>-5.217981357743072E-2</v>
      </c>
      <c r="J12" s="7">
        <v>1318.99</v>
      </c>
      <c r="K12" s="16">
        <f>1303235975.14/1000000</f>
        <v>1303.2359751400002</v>
      </c>
      <c r="L12" s="45">
        <f t="shared" si="3"/>
        <v>-1.1944006292693534E-2</v>
      </c>
    </row>
    <row r="13" spans="2:12" ht="31.05" customHeight="1" x14ac:dyDescent="0.3">
      <c r="B13" s="74"/>
      <c r="C13" s="38" t="s">
        <v>22</v>
      </c>
      <c r="D13" s="39">
        <v>1894.24</v>
      </c>
      <c r="E13" s="39">
        <f>1738741848.76/1000000</f>
        <v>1738.74184876</v>
      </c>
      <c r="F13" s="45">
        <f t="shared" si="1"/>
        <v>-8.2089994530788052E-2</v>
      </c>
      <c r="G13" s="39">
        <v>2234.14</v>
      </c>
      <c r="H13" s="39">
        <f>2174735675.85/1000000</f>
        <v>2174.73567585</v>
      </c>
      <c r="I13" s="45">
        <f t="shared" si="2"/>
        <v>-2.6589347198474521E-2</v>
      </c>
      <c r="J13" s="39">
        <v>2015.18</v>
      </c>
      <c r="K13" s="39">
        <f>1990316722.01/1000000</f>
        <v>1990.3167220099999</v>
      </c>
      <c r="L13" s="45">
        <f t="shared" si="3"/>
        <v>-1.2337993623398477E-2</v>
      </c>
    </row>
    <row r="14" spans="2:12" ht="31.05" customHeight="1" thickBot="1" x14ac:dyDescent="0.35">
      <c r="B14" s="75"/>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43155.199999999997</v>
      </c>
      <c r="E15" s="42">
        <f>E4+E10</f>
        <v>42523.047435810004</v>
      </c>
      <c r="F15" s="43">
        <f t="shared" ref="F15" si="4">(E15-D15)/D15</f>
        <v>-1.4648352091752408E-2</v>
      </c>
      <c r="G15" s="42">
        <f>G4+G10</f>
        <v>46642.33</v>
      </c>
      <c r="H15" s="42">
        <f>H4+H10</f>
        <v>46355.096338980002</v>
      </c>
      <c r="I15" s="43">
        <f t="shared" ref="I15" si="5">(H15-G15)/G15</f>
        <v>-6.1582185328220096E-3</v>
      </c>
      <c r="J15" s="42">
        <f>J4+J10</f>
        <v>45217.71</v>
      </c>
      <c r="K15" s="42">
        <f>K4+K10</f>
        <v>44948.831174309998</v>
      </c>
      <c r="L15" s="43">
        <f t="shared" ref="L15" si="6">(K15-J15)/J15</f>
        <v>-5.9463167349695653E-3</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632.15256418999343</v>
      </c>
      <c r="E17" s="71"/>
      <c r="F17" s="72"/>
      <c r="G17" s="70">
        <f>G15-H15</f>
        <v>287.23366102</v>
      </c>
      <c r="H17" s="71"/>
      <c r="I17" s="72"/>
      <c r="J17" s="70">
        <f>J15-K15</f>
        <v>268.87882569000067</v>
      </c>
      <c r="K17" s="71"/>
      <c r="L17" s="72"/>
    </row>
    <row r="18" spans="2:12" ht="31.05" customHeight="1" x14ac:dyDescent="0.3">
      <c r="B18" s="6"/>
      <c r="C18" s="27" t="s">
        <v>36</v>
      </c>
      <c r="D18" s="55">
        <f>D4-E4</f>
        <v>-1271.3050467600006</v>
      </c>
      <c r="E18" s="56"/>
      <c r="F18" s="57"/>
      <c r="G18" s="55">
        <f>G4-H4</f>
        <v>-275.02227202999711</v>
      </c>
      <c r="H18" s="56"/>
      <c r="I18" s="57"/>
      <c r="J18" s="55">
        <f>J4-K4</f>
        <v>13.825077059998875</v>
      </c>
      <c r="K18" s="56"/>
      <c r="L18" s="57"/>
    </row>
    <row r="19" spans="2:12" ht="31.05" customHeight="1" x14ac:dyDescent="0.3">
      <c r="B19" s="6"/>
      <c r="C19" s="27" t="s">
        <v>37</v>
      </c>
      <c r="D19" s="55">
        <f>D10-E10</f>
        <v>1903.4576109499976</v>
      </c>
      <c r="E19" s="56"/>
      <c r="F19" s="57"/>
      <c r="G19" s="55">
        <f>G10-H10</f>
        <v>562.25593304999711</v>
      </c>
      <c r="H19" s="56"/>
      <c r="I19" s="57"/>
      <c r="J19" s="55">
        <f>J10-K10</f>
        <v>255.05374863000179</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0.19289822624979583</v>
      </c>
      <c r="E21" s="65"/>
      <c r="F21" s="66"/>
      <c r="G21" s="64">
        <f>G17/H9</f>
        <v>0.16720434786303889</v>
      </c>
      <c r="H21" s="65"/>
      <c r="I21" s="66"/>
      <c r="J21" s="64">
        <f>J17/K9</f>
        <v>0.12235446257633566</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3" ht="31.05" customHeight="1" x14ac:dyDescent="0.3">
      <c r="B85" s="26" t="s">
        <v>2</v>
      </c>
    </row>
    <row r="91" spans="2:3" ht="31.05" customHeight="1" x14ac:dyDescent="0.3">
      <c r="B91" s="3" t="s">
        <v>3</v>
      </c>
    </row>
    <row r="92" spans="2:3" ht="31.05" customHeight="1" x14ac:dyDescent="0.3">
      <c r="B92" s="3" t="s">
        <v>4</v>
      </c>
    </row>
    <row r="93" spans="2:3" ht="31.05" customHeight="1" x14ac:dyDescent="0.3">
      <c r="B93" s="3" t="s">
        <v>5</v>
      </c>
    </row>
    <row r="94" spans="2:3" ht="31.05" customHeight="1" x14ac:dyDescent="0.3">
      <c r="B94" s="3" t="s">
        <v>6</v>
      </c>
    </row>
    <row r="95" spans="2:3" ht="31.05" customHeight="1" x14ac:dyDescent="0.3">
      <c r="B95" s="3" t="s">
        <v>7</v>
      </c>
    </row>
    <row r="96" spans="2:3" ht="31.05" customHeight="1" x14ac:dyDescent="0.3">
      <c r="B96" s="3" t="s">
        <v>8</v>
      </c>
      <c r="C96" s="3" t="s">
        <v>9</v>
      </c>
    </row>
    <row r="97" spans="2:5" ht="31.05" customHeight="1" x14ac:dyDescent="0.3">
      <c r="B97" s="3" t="s">
        <v>10</v>
      </c>
      <c r="C97" s="3" t="s">
        <v>11</v>
      </c>
      <c r="E97" s="22" t="s">
        <v>47</v>
      </c>
    </row>
  </sheetData>
  <mergeCells count="23">
    <mergeCell ref="B16:L16"/>
    <mergeCell ref="D17:F17"/>
    <mergeCell ref="G17:I17"/>
    <mergeCell ref="J17:L17"/>
    <mergeCell ref="J2:L2"/>
    <mergeCell ref="B4:B9"/>
    <mergeCell ref="B2:C3"/>
    <mergeCell ref="D2:F2"/>
    <mergeCell ref="G2:I2"/>
    <mergeCell ref="B10:B14"/>
    <mergeCell ref="D18:F18"/>
    <mergeCell ref="G18:I18"/>
    <mergeCell ref="J18:L18"/>
    <mergeCell ref="B61:B62"/>
    <mergeCell ref="C61:D61"/>
    <mergeCell ref="B21:C21"/>
    <mergeCell ref="B20:L20"/>
    <mergeCell ref="D19:F19"/>
    <mergeCell ref="G19:I19"/>
    <mergeCell ref="J19:L19"/>
    <mergeCell ref="D21:F21"/>
    <mergeCell ref="G21:I21"/>
    <mergeCell ref="J21:L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0DFC-A694-4359-95E3-435E258447F6}">
  <dimension ref="A2:AJ97"/>
  <sheetViews>
    <sheetView zoomScale="60" zoomScaleNormal="60" workbookViewId="0">
      <selection activeCell="K13" sqref="K13"/>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76" t="s">
        <v>12</v>
      </c>
      <c r="C2" s="76"/>
      <c r="D2" s="73" t="s">
        <v>38</v>
      </c>
      <c r="E2" s="73"/>
      <c r="F2" s="73"/>
      <c r="G2" s="73" t="s">
        <v>39</v>
      </c>
      <c r="H2" s="73"/>
      <c r="I2" s="73"/>
      <c r="J2" s="73" t="s">
        <v>40</v>
      </c>
      <c r="K2" s="73"/>
      <c r="L2" s="73"/>
      <c r="N2" s="48" t="s">
        <v>50</v>
      </c>
    </row>
    <row r="3" spans="2:14" ht="31.05" customHeight="1" thickBot="1" x14ac:dyDescent="0.35">
      <c r="B3" s="77"/>
      <c r="C3" s="77"/>
      <c r="D3" s="34" t="s">
        <v>0</v>
      </c>
      <c r="E3" s="34" t="s">
        <v>1</v>
      </c>
      <c r="F3" s="35" t="s">
        <v>17</v>
      </c>
      <c r="G3" s="34" t="s">
        <v>0</v>
      </c>
      <c r="H3" s="34" t="s">
        <v>1</v>
      </c>
      <c r="I3" s="36" t="s">
        <v>17</v>
      </c>
      <c r="J3" s="34" t="s">
        <v>0</v>
      </c>
      <c r="K3" s="34" t="s">
        <v>1</v>
      </c>
      <c r="L3" s="35" t="s">
        <v>17</v>
      </c>
      <c r="N3" s="3" t="s">
        <v>51</v>
      </c>
    </row>
    <row r="4" spans="2:14" ht="31.05" customHeight="1" thickTop="1" x14ac:dyDescent="0.3">
      <c r="B4" s="74" t="s">
        <v>41</v>
      </c>
      <c r="C4" s="32" t="s">
        <v>42</v>
      </c>
      <c r="D4" s="79" t="s">
        <v>49</v>
      </c>
      <c r="E4" s="80"/>
      <c r="F4" s="80"/>
      <c r="G4" s="80"/>
      <c r="H4" s="80"/>
      <c r="I4" s="81"/>
      <c r="J4" s="33">
        <f t="shared" ref="J4" si="0">SUM(J5,J7:J9)</f>
        <v>52980.3</v>
      </c>
      <c r="K4" s="33">
        <f>SUM(K5,K7:K9)</f>
        <v>46497.320000000007</v>
      </c>
      <c r="L4" s="45">
        <f>(K4-J4)/J4</f>
        <v>-0.12236586051796602</v>
      </c>
      <c r="N4" s="3" t="s">
        <v>52</v>
      </c>
    </row>
    <row r="5" spans="2:14" ht="31.05" customHeight="1" x14ac:dyDescent="0.3">
      <c r="B5" s="74"/>
      <c r="C5" s="27" t="s">
        <v>13</v>
      </c>
      <c r="D5" s="82"/>
      <c r="E5" s="83"/>
      <c r="F5" s="83"/>
      <c r="G5" s="83"/>
      <c r="H5" s="83"/>
      <c r="I5" s="84"/>
      <c r="J5" s="7">
        <v>15978.03</v>
      </c>
      <c r="K5" s="7">
        <v>13889.6</v>
      </c>
      <c r="L5" s="45">
        <f t="shared" ref="L5:L13" si="1">(K5-J5)/J5</f>
        <v>-0.13070635115843443</v>
      </c>
      <c r="N5" s="3" t="s">
        <v>53</v>
      </c>
    </row>
    <row r="6" spans="2:14" ht="31.05" hidden="1" customHeight="1" x14ac:dyDescent="0.3">
      <c r="B6" s="74"/>
      <c r="C6" s="27" t="s">
        <v>18</v>
      </c>
      <c r="D6" s="82"/>
      <c r="E6" s="83"/>
      <c r="F6" s="83"/>
      <c r="G6" s="83"/>
      <c r="H6" s="83"/>
      <c r="I6" s="84"/>
      <c r="J6" s="7" t="e">
        <f>#REF!</f>
        <v>#REF!</v>
      </c>
      <c r="K6" s="7" t="e">
        <f>#REF!</f>
        <v>#REF!</v>
      </c>
      <c r="L6" s="45" t="e">
        <f t="shared" si="1"/>
        <v>#REF!</v>
      </c>
    </row>
    <row r="7" spans="2:14" ht="31.05" customHeight="1" x14ac:dyDescent="0.3">
      <c r="B7" s="74"/>
      <c r="C7" s="28" t="s">
        <v>19</v>
      </c>
      <c r="D7" s="82"/>
      <c r="E7" s="83"/>
      <c r="F7" s="83"/>
      <c r="G7" s="83"/>
      <c r="H7" s="83"/>
      <c r="I7" s="84"/>
      <c r="J7" s="7">
        <v>29946.77</v>
      </c>
      <c r="K7" s="7">
        <v>19124.09</v>
      </c>
      <c r="L7" s="45">
        <f t="shared" si="1"/>
        <v>-0.36139723916803046</v>
      </c>
      <c r="N7" s="3" t="s">
        <v>54</v>
      </c>
    </row>
    <row r="8" spans="2:14" ht="31.05" customHeight="1" x14ac:dyDescent="0.3">
      <c r="B8" s="74"/>
      <c r="C8" s="28" t="s">
        <v>15</v>
      </c>
      <c r="D8" s="82"/>
      <c r="E8" s="83"/>
      <c r="F8" s="83"/>
      <c r="G8" s="83"/>
      <c r="H8" s="83"/>
      <c r="I8" s="84"/>
      <c r="J8" s="11"/>
      <c r="K8" s="7">
        <v>8002.58</v>
      </c>
      <c r="L8" s="45" t="s">
        <v>14</v>
      </c>
    </row>
    <row r="9" spans="2:14" ht="31.05" customHeight="1" thickBot="1" x14ac:dyDescent="0.35">
      <c r="B9" s="75"/>
      <c r="C9" s="29" t="s">
        <v>16</v>
      </c>
      <c r="D9" s="82"/>
      <c r="E9" s="83"/>
      <c r="F9" s="83"/>
      <c r="G9" s="83"/>
      <c r="H9" s="83"/>
      <c r="I9" s="84"/>
      <c r="J9" s="14">
        <v>7055.5</v>
      </c>
      <c r="K9" s="17">
        <v>5481.05</v>
      </c>
      <c r="L9" s="45">
        <f t="shared" si="1"/>
        <v>-0.22315215080433701</v>
      </c>
    </row>
    <row r="10" spans="2:14" ht="31.05" customHeight="1" thickTop="1" x14ac:dyDescent="0.3">
      <c r="B10" s="78" t="s">
        <v>43</v>
      </c>
      <c r="C10" s="27" t="s">
        <v>44</v>
      </c>
      <c r="D10" s="82"/>
      <c r="E10" s="83"/>
      <c r="F10" s="83"/>
      <c r="G10" s="83"/>
      <c r="H10" s="83"/>
      <c r="I10" s="84"/>
      <c r="J10" s="15">
        <f t="shared" ref="J10:K10" si="2">SUM(J11:J13)</f>
        <v>10009.48</v>
      </c>
      <c r="K10" s="15">
        <f t="shared" si="2"/>
        <v>10225.93</v>
      </c>
      <c r="L10" s="45">
        <f t="shared" si="1"/>
        <v>2.16244999740247E-2</v>
      </c>
    </row>
    <row r="11" spans="2:14" ht="31.05" customHeight="1" x14ac:dyDescent="0.3">
      <c r="B11" s="74"/>
      <c r="C11" s="27" t="s">
        <v>20</v>
      </c>
      <c r="D11" s="82"/>
      <c r="E11" s="83"/>
      <c r="F11" s="83"/>
      <c r="G11" s="83"/>
      <c r="H11" s="83"/>
      <c r="I11" s="84"/>
      <c r="J11" s="7">
        <v>8218.32</v>
      </c>
      <c r="K11" s="7">
        <v>8319.84</v>
      </c>
      <c r="L11" s="45">
        <f t="shared" si="1"/>
        <v>1.2352889641678645E-2</v>
      </c>
    </row>
    <row r="12" spans="2:14" ht="31.05" customHeight="1" x14ac:dyDescent="0.3">
      <c r="B12" s="74"/>
      <c r="C12" s="27" t="s">
        <v>21</v>
      </c>
      <c r="D12" s="82"/>
      <c r="E12" s="83"/>
      <c r="F12" s="83"/>
      <c r="G12" s="83"/>
      <c r="H12" s="83"/>
      <c r="I12" s="84"/>
      <c r="J12" s="7">
        <v>900.15</v>
      </c>
      <c r="K12" s="16">
        <v>1020.26</v>
      </c>
      <c r="L12" s="45">
        <f t="shared" si="1"/>
        <v>0.133433316669444</v>
      </c>
    </row>
    <row r="13" spans="2:14" ht="31.05" customHeight="1" x14ac:dyDescent="0.3">
      <c r="B13" s="74"/>
      <c r="C13" s="38" t="s">
        <v>22</v>
      </c>
      <c r="D13" s="82"/>
      <c r="E13" s="83"/>
      <c r="F13" s="83"/>
      <c r="G13" s="83"/>
      <c r="H13" s="83"/>
      <c r="I13" s="84"/>
      <c r="J13" s="39">
        <v>891.01</v>
      </c>
      <c r="K13" s="39">
        <v>885.83</v>
      </c>
      <c r="L13" s="45">
        <f t="shared" si="1"/>
        <v>-5.8136272320175415E-3</v>
      </c>
    </row>
    <row r="14" spans="2:14" ht="31.05" customHeight="1" thickBot="1" x14ac:dyDescent="0.35">
      <c r="B14" s="75"/>
      <c r="C14" s="30" t="s">
        <v>48</v>
      </c>
      <c r="D14" s="85"/>
      <c r="E14" s="86"/>
      <c r="F14" s="86"/>
      <c r="G14" s="86"/>
      <c r="H14" s="86"/>
      <c r="I14" s="87"/>
      <c r="J14" s="17">
        <v>6691.11</v>
      </c>
      <c r="K14" s="17">
        <v>446.83</v>
      </c>
      <c r="L14" s="45" t="s">
        <v>14</v>
      </c>
      <c r="N14" s="3" t="s">
        <v>55</v>
      </c>
    </row>
    <row r="15" spans="2:14" s="21" customFormat="1" ht="31.05" customHeight="1" thickTop="1" x14ac:dyDescent="0.3">
      <c r="B15" s="41" t="s">
        <v>35</v>
      </c>
      <c r="C15" s="41"/>
      <c r="D15" s="42" t="e">
        <f>D4+D10</f>
        <v>#VALUE!</v>
      </c>
      <c r="E15" s="42">
        <f>E4+E10</f>
        <v>0</v>
      </c>
      <c r="F15" s="43" t="e">
        <f t="shared" ref="F15" si="3">(E15-D15)/D15</f>
        <v>#VALUE!</v>
      </c>
      <c r="G15" s="42">
        <f>G4+G10</f>
        <v>0</v>
      </c>
      <c r="H15" s="42">
        <f>H4+H10</f>
        <v>0</v>
      </c>
      <c r="I15" s="43" t="e">
        <f t="shared" ref="I15" si="4">(H15-G15)/G15</f>
        <v>#DIV/0!</v>
      </c>
      <c r="J15" s="42">
        <f>J4+J10</f>
        <v>62989.78</v>
      </c>
      <c r="K15" s="42">
        <f>K4+K10</f>
        <v>56723.250000000007</v>
      </c>
      <c r="L15" s="43">
        <f t="shared" ref="L15" si="5">(K15-J15)/J15</f>
        <v>-9.9484868815226724E-2</v>
      </c>
      <c r="N15" s="21" t="s">
        <v>56</v>
      </c>
    </row>
    <row r="16" spans="2:14" ht="31.05" customHeight="1" x14ac:dyDescent="0.3">
      <c r="B16" s="67"/>
      <c r="C16" s="68"/>
      <c r="D16" s="68"/>
      <c r="E16" s="68"/>
      <c r="F16" s="68"/>
      <c r="G16" s="68"/>
      <c r="H16" s="68"/>
      <c r="I16" s="68"/>
      <c r="J16" s="68"/>
      <c r="K16" s="68"/>
      <c r="L16" s="69"/>
      <c r="N16" s="3" t="s">
        <v>57</v>
      </c>
    </row>
    <row r="17" spans="2:12" ht="31.05" customHeight="1" x14ac:dyDescent="0.3">
      <c r="B17" s="2" t="s">
        <v>45</v>
      </c>
      <c r="C17" s="27" t="s">
        <v>35</v>
      </c>
      <c r="D17" s="88" t="s">
        <v>49</v>
      </c>
      <c r="E17" s="89"/>
      <c r="F17" s="89"/>
      <c r="G17" s="89"/>
      <c r="H17" s="89"/>
      <c r="I17" s="90"/>
      <c r="J17" s="70">
        <f>J15-K15</f>
        <v>6266.5299999999916</v>
      </c>
      <c r="K17" s="71"/>
      <c r="L17" s="72"/>
    </row>
    <row r="18" spans="2:12" ht="31.05" customHeight="1" x14ac:dyDescent="0.3">
      <c r="B18" s="6"/>
      <c r="C18" s="27" t="s">
        <v>36</v>
      </c>
      <c r="D18" s="91"/>
      <c r="E18" s="92"/>
      <c r="F18" s="92"/>
      <c r="G18" s="92"/>
      <c r="H18" s="92"/>
      <c r="I18" s="93"/>
      <c r="J18" s="55">
        <f>J4-K4</f>
        <v>6482.9799999999959</v>
      </c>
      <c r="K18" s="56"/>
      <c r="L18" s="57"/>
    </row>
    <row r="19" spans="2:12" ht="31.05" customHeight="1" x14ac:dyDescent="0.3">
      <c r="B19" s="6"/>
      <c r="C19" s="27" t="s">
        <v>37</v>
      </c>
      <c r="D19" s="94"/>
      <c r="E19" s="95"/>
      <c r="F19" s="95"/>
      <c r="G19" s="95"/>
      <c r="H19" s="95"/>
      <c r="I19" s="96"/>
      <c r="J19" s="55">
        <f>J10-K10</f>
        <v>-216.45000000000073</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t="s">
        <v>49</v>
      </c>
      <c r="E21" s="65"/>
      <c r="F21" s="65"/>
      <c r="G21" s="65"/>
      <c r="H21" s="65"/>
      <c r="I21" s="66"/>
      <c r="J21" s="64">
        <f>J17/K9</f>
        <v>1.143308307714761</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18">
    <mergeCell ref="B2:C3"/>
    <mergeCell ref="D2:F2"/>
    <mergeCell ref="G2:I2"/>
    <mergeCell ref="J2:L2"/>
    <mergeCell ref="B4:B9"/>
    <mergeCell ref="J19:L19"/>
    <mergeCell ref="B20:L20"/>
    <mergeCell ref="B21:C21"/>
    <mergeCell ref="J21:L21"/>
    <mergeCell ref="B16:L16"/>
    <mergeCell ref="J17:L17"/>
    <mergeCell ref="J18:L18"/>
    <mergeCell ref="B61:B62"/>
    <mergeCell ref="C61:D61"/>
    <mergeCell ref="B10:B14"/>
    <mergeCell ref="D4:I14"/>
    <mergeCell ref="D17:I19"/>
    <mergeCell ref="D21:I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C90D-9AFA-47AC-93E7-C49828E2919C}">
  <dimension ref="A2:AJ97"/>
  <sheetViews>
    <sheetView tabSelected="1" topLeftCell="I4" zoomScale="76" zoomScaleNormal="76" workbookViewId="0">
      <selection activeCell="T23" sqref="T23"/>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14" style="3" bestFit="1" customWidth="1"/>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76" t="s">
        <v>12</v>
      </c>
      <c r="C2" s="76"/>
      <c r="D2" s="73" t="s">
        <v>38</v>
      </c>
      <c r="E2" s="73"/>
      <c r="F2" s="73"/>
      <c r="G2" s="73" t="s">
        <v>39</v>
      </c>
      <c r="H2" s="73"/>
      <c r="I2" s="73"/>
      <c r="J2" s="73" t="s">
        <v>40</v>
      </c>
      <c r="K2" s="73"/>
      <c r="L2" s="73"/>
      <c r="N2" s="48" t="s">
        <v>50</v>
      </c>
    </row>
    <row r="3" spans="2:14" ht="31.05" customHeight="1" thickBot="1" x14ac:dyDescent="0.35">
      <c r="B3" s="77"/>
      <c r="C3" s="77"/>
      <c r="D3" s="34" t="s">
        <v>0</v>
      </c>
      <c r="E3" s="34" t="s">
        <v>1</v>
      </c>
      <c r="F3" s="35" t="s">
        <v>17</v>
      </c>
      <c r="G3" s="34" t="s">
        <v>0</v>
      </c>
      <c r="H3" s="34" t="s">
        <v>1</v>
      </c>
      <c r="I3" s="36" t="s">
        <v>17</v>
      </c>
      <c r="J3" s="34" t="s">
        <v>0</v>
      </c>
      <c r="K3" s="34" t="s">
        <v>1</v>
      </c>
      <c r="L3" s="35" t="s">
        <v>17</v>
      </c>
      <c r="N3" s="3" t="s">
        <v>51</v>
      </c>
    </row>
    <row r="4" spans="2:14" ht="31.05" customHeight="1" thickTop="1" x14ac:dyDescent="0.3">
      <c r="B4" s="74" t="s">
        <v>41</v>
      </c>
      <c r="C4" s="32" t="s">
        <v>42</v>
      </c>
      <c r="D4" s="79" t="s">
        <v>49</v>
      </c>
      <c r="E4" s="80"/>
      <c r="F4" s="80"/>
      <c r="G4" s="80"/>
      <c r="H4" s="80"/>
      <c r="I4" s="81"/>
      <c r="J4" s="33">
        <f t="shared" ref="J4" si="0">SUM(J5,J7:J9)</f>
        <v>48026.11</v>
      </c>
      <c r="K4" s="33">
        <f>SUM(K5,K7:K9)</f>
        <v>45327.979999999996</v>
      </c>
      <c r="L4" s="45">
        <f>(K4-J4)/J4</f>
        <v>-5.618048182540715E-2</v>
      </c>
      <c r="N4" s="3" t="s">
        <v>94</v>
      </c>
    </row>
    <row r="5" spans="2:14" ht="31.05" customHeight="1" x14ac:dyDescent="0.3">
      <c r="B5" s="74"/>
      <c r="C5" s="27" t="s">
        <v>13</v>
      </c>
      <c r="D5" s="82"/>
      <c r="E5" s="83"/>
      <c r="F5" s="83"/>
      <c r="G5" s="83"/>
      <c r="H5" s="83"/>
      <c r="I5" s="84"/>
      <c r="J5" s="7">
        <v>14929.36</v>
      </c>
      <c r="K5" s="7">
        <v>13523.96</v>
      </c>
      <c r="L5" s="45">
        <f t="shared" ref="L5:L13" si="1">(K5-J5)/J5</f>
        <v>-9.4136654216925672E-2</v>
      </c>
      <c r="N5" s="3" t="s">
        <v>95</v>
      </c>
    </row>
    <row r="6" spans="2:14" ht="31.05" hidden="1" customHeight="1" x14ac:dyDescent="0.3">
      <c r="B6" s="74"/>
      <c r="C6" s="27" t="s">
        <v>18</v>
      </c>
      <c r="D6" s="82"/>
      <c r="E6" s="83"/>
      <c r="F6" s="83"/>
      <c r="G6" s="83"/>
      <c r="H6" s="83"/>
      <c r="I6" s="84"/>
      <c r="J6" s="7" t="e">
        <f>#REF!</f>
        <v>#REF!</v>
      </c>
      <c r="K6" s="7" t="e">
        <f>#REF!</f>
        <v>#REF!</v>
      </c>
      <c r="L6" s="45" t="e">
        <f t="shared" si="1"/>
        <v>#REF!</v>
      </c>
    </row>
    <row r="7" spans="2:14" ht="31.05" customHeight="1" x14ac:dyDescent="0.3">
      <c r="B7" s="74"/>
      <c r="C7" s="28" t="s">
        <v>19</v>
      </c>
      <c r="D7" s="82"/>
      <c r="E7" s="83"/>
      <c r="F7" s="83"/>
      <c r="G7" s="83"/>
      <c r="H7" s="83"/>
      <c r="I7" s="84"/>
      <c r="J7" s="7">
        <v>24647.05</v>
      </c>
      <c r="K7" s="7">
        <v>17793.32</v>
      </c>
      <c r="L7" s="45">
        <f t="shared" si="1"/>
        <v>-0.27807506375002283</v>
      </c>
      <c r="N7" s="3" t="s">
        <v>54</v>
      </c>
    </row>
    <row r="8" spans="2:14" ht="31.05" customHeight="1" x14ac:dyDescent="0.3">
      <c r="B8" s="74"/>
      <c r="C8" s="28" t="s">
        <v>15</v>
      </c>
      <c r="D8" s="82"/>
      <c r="E8" s="83"/>
      <c r="F8" s="83"/>
      <c r="G8" s="83"/>
      <c r="H8" s="83"/>
      <c r="I8" s="84"/>
      <c r="J8" s="11"/>
      <c r="K8" s="7">
        <v>8444.5400000000009</v>
      </c>
      <c r="L8" s="45" t="s">
        <v>14</v>
      </c>
    </row>
    <row r="9" spans="2:14" ht="31.05" customHeight="1" thickBot="1" x14ac:dyDescent="0.35">
      <c r="B9" s="75"/>
      <c r="C9" s="29" t="s">
        <v>16</v>
      </c>
      <c r="D9" s="82"/>
      <c r="E9" s="83"/>
      <c r="F9" s="83"/>
      <c r="G9" s="83"/>
      <c r="H9" s="83"/>
      <c r="I9" s="84"/>
      <c r="J9" s="14">
        <v>8449.7000000000007</v>
      </c>
      <c r="K9" s="17">
        <v>5566.16</v>
      </c>
      <c r="L9" s="45">
        <f t="shared" si="1"/>
        <v>-0.34125945299833138</v>
      </c>
    </row>
    <row r="10" spans="2:14" ht="31.05" customHeight="1" thickTop="1" x14ac:dyDescent="0.3">
      <c r="B10" s="78" t="s">
        <v>43</v>
      </c>
      <c r="C10" s="27" t="s">
        <v>44</v>
      </c>
      <c r="D10" s="82"/>
      <c r="E10" s="83"/>
      <c r="F10" s="83"/>
      <c r="G10" s="83"/>
      <c r="H10" s="83"/>
      <c r="I10" s="84"/>
      <c r="J10" s="15">
        <f t="shared" ref="J10:K10" si="2">SUM(J11:J13)</f>
        <v>9730.8700000000008</v>
      </c>
      <c r="K10" s="15">
        <f t="shared" si="2"/>
        <v>9973.9</v>
      </c>
      <c r="L10" s="45">
        <f t="shared" si="1"/>
        <v>2.4975156383755904E-2</v>
      </c>
    </row>
    <row r="11" spans="2:14" ht="31.05" customHeight="1" x14ac:dyDescent="0.3">
      <c r="B11" s="74"/>
      <c r="C11" s="27" t="s">
        <v>20</v>
      </c>
      <c r="D11" s="82"/>
      <c r="E11" s="83"/>
      <c r="F11" s="83"/>
      <c r="G11" s="83"/>
      <c r="H11" s="83"/>
      <c r="I11" s="84"/>
      <c r="J11" s="7">
        <v>8029.39</v>
      </c>
      <c r="K11" s="7">
        <v>8160.49</v>
      </c>
      <c r="L11" s="45">
        <f t="shared" si="1"/>
        <v>1.6327516785210265E-2</v>
      </c>
    </row>
    <row r="12" spans="2:14" ht="31.05" customHeight="1" x14ac:dyDescent="0.3">
      <c r="B12" s="74"/>
      <c r="C12" s="27" t="s">
        <v>21</v>
      </c>
      <c r="D12" s="82"/>
      <c r="E12" s="83"/>
      <c r="F12" s="83"/>
      <c r="G12" s="83"/>
      <c r="H12" s="83"/>
      <c r="I12" s="84"/>
      <c r="J12" s="7">
        <v>878.66</v>
      </c>
      <c r="K12" s="16">
        <v>970.93</v>
      </c>
      <c r="L12" s="45">
        <f t="shared" si="1"/>
        <v>0.10501217763412467</v>
      </c>
    </row>
    <row r="13" spans="2:14" ht="31.05" customHeight="1" x14ac:dyDescent="0.3">
      <c r="B13" s="74"/>
      <c r="C13" s="38" t="s">
        <v>22</v>
      </c>
      <c r="D13" s="82"/>
      <c r="E13" s="83"/>
      <c r="F13" s="83"/>
      <c r="G13" s="83"/>
      <c r="H13" s="83"/>
      <c r="I13" s="84"/>
      <c r="J13" s="39">
        <v>822.82</v>
      </c>
      <c r="K13" s="39">
        <v>842.48</v>
      </c>
      <c r="L13" s="45">
        <f t="shared" si="1"/>
        <v>2.3893439634427902E-2</v>
      </c>
    </row>
    <row r="14" spans="2:14" ht="31.05" customHeight="1" thickBot="1" x14ac:dyDescent="0.35">
      <c r="B14" s="75"/>
      <c r="C14" s="30" t="s">
        <v>48</v>
      </c>
      <c r="D14" s="85"/>
      <c r="E14" s="86"/>
      <c r="F14" s="86"/>
      <c r="G14" s="86"/>
      <c r="H14" s="86"/>
      <c r="I14" s="87"/>
      <c r="J14" s="17">
        <v>6691.11</v>
      </c>
      <c r="K14" s="17">
        <v>352.79</v>
      </c>
      <c r="L14" s="45" t="s">
        <v>14</v>
      </c>
      <c r="N14" s="3" t="s">
        <v>96</v>
      </c>
    </row>
    <row r="15" spans="2:14" s="21" customFormat="1" ht="31.05" customHeight="1" thickTop="1" x14ac:dyDescent="0.3">
      <c r="B15" s="41" t="s">
        <v>35</v>
      </c>
      <c r="C15" s="41"/>
      <c r="D15" s="42" t="e">
        <f>D4+D10</f>
        <v>#VALUE!</v>
      </c>
      <c r="E15" s="42">
        <f>E4+E10</f>
        <v>0</v>
      </c>
      <c r="F15" s="43" t="e">
        <f t="shared" ref="F15" si="3">(E15-D15)/D15</f>
        <v>#VALUE!</v>
      </c>
      <c r="G15" s="42">
        <f>G4+G10</f>
        <v>0</v>
      </c>
      <c r="H15" s="42">
        <f>H4+H10</f>
        <v>0</v>
      </c>
      <c r="I15" s="43" t="e">
        <f t="shared" ref="I15" si="4">(H15-G15)/G15</f>
        <v>#DIV/0!</v>
      </c>
      <c r="J15" s="42">
        <f>J4+J10</f>
        <v>57756.98</v>
      </c>
      <c r="K15" s="42">
        <f>K4+K10</f>
        <v>55301.88</v>
      </c>
      <c r="L15" s="43">
        <f t="shared" ref="L15" si="5">(K15-J15)/J15</f>
        <v>-4.2507416419625917E-2</v>
      </c>
      <c r="N15" s="21" t="s">
        <v>97</v>
      </c>
    </row>
    <row r="16" spans="2:14" ht="31.05" customHeight="1" x14ac:dyDescent="0.3">
      <c r="B16" s="67"/>
      <c r="C16" s="68"/>
      <c r="D16" s="68"/>
      <c r="E16" s="68"/>
      <c r="F16" s="68"/>
      <c r="G16" s="68"/>
      <c r="H16" s="68"/>
      <c r="I16" s="68"/>
      <c r="J16" s="68"/>
      <c r="K16" s="68"/>
      <c r="L16" s="69"/>
      <c r="N16" s="3" t="s">
        <v>57</v>
      </c>
    </row>
    <row r="17" spans="2:17" ht="31.05" customHeight="1" x14ac:dyDescent="0.3">
      <c r="B17" s="2" t="s">
        <v>45</v>
      </c>
      <c r="C17" s="27" t="s">
        <v>35</v>
      </c>
      <c r="D17" s="88" t="s">
        <v>49</v>
      </c>
      <c r="E17" s="89"/>
      <c r="F17" s="89"/>
      <c r="G17" s="89"/>
      <c r="H17" s="89"/>
      <c r="I17" s="90"/>
      <c r="J17" s="70">
        <f>J15-K15</f>
        <v>2455.1000000000058</v>
      </c>
      <c r="K17" s="71"/>
      <c r="L17" s="72"/>
    </row>
    <row r="18" spans="2:17" ht="31.05" customHeight="1" x14ac:dyDescent="0.3">
      <c r="B18" s="6"/>
      <c r="C18" s="27" t="s">
        <v>36</v>
      </c>
      <c r="D18" s="91"/>
      <c r="E18" s="92"/>
      <c r="F18" s="92"/>
      <c r="G18" s="92"/>
      <c r="H18" s="92"/>
      <c r="I18" s="93"/>
      <c r="J18" s="55">
        <f>J4-K4</f>
        <v>2698.1300000000047</v>
      </c>
      <c r="K18" s="56"/>
      <c r="L18" s="57"/>
      <c r="O18" s="3" t="s">
        <v>98</v>
      </c>
      <c r="P18" s="3">
        <v>10000</v>
      </c>
      <c r="Q18" s="3">
        <f>J14*1000000</f>
        <v>6691110000</v>
      </c>
    </row>
    <row r="19" spans="2:17" ht="31.05" customHeight="1" x14ac:dyDescent="0.3">
      <c r="B19" s="6"/>
      <c r="C19" s="27" t="s">
        <v>37</v>
      </c>
      <c r="D19" s="94"/>
      <c r="E19" s="95"/>
      <c r="F19" s="95"/>
      <c r="G19" s="95"/>
      <c r="H19" s="95"/>
      <c r="I19" s="96"/>
      <c r="J19" s="55">
        <f>J10-K10</f>
        <v>-243.02999999999884</v>
      </c>
      <c r="K19" s="56"/>
      <c r="L19" s="57"/>
    </row>
    <row r="20" spans="2:17" ht="31.05" customHeight="1" x14ac:dyDescent="0.3">
      <c r="B20" s="61"/>
      <c r="C20" s="62"/>
      <c r="D20" s="62"/>
      <c r="E20" s="62"/>
      <c r="F20" s="62"/>
      <c r="G20" s="62"/>
      <c r="H20" s="62"/>
      <c r="I20" s="62"/>
      <c r="J20" s="62"/>
      <c r="K20" s="62"/>
      <c r="L20" s="63"/>
      <c r="O20" s="3" t="s">
        <v>99</v>
      </c>
      <c r="Q20" s="97">
        <f>Q18/P18</f>
        <v>669111</v>
      </c>
    </row>
    <row r="21" spans="2:17" ht="31.05" customHeight="1" x14ac:dyDescent="0.3">
      <c r="B21" s="59" t="s">
        <v>46</v>
      </c>
      <c r="C21" s="60"/>
      <c r="D21" s="64" t="s">
        <v>49</v>
      </c>
      <c r="E21" s="65"/>
      <c r="F21" s="65"/>
      <c r="G21" s="65"/>
      <c r="H21" s="65"/>
      <c r="I21" s="66"/>
      <c r="J21" s="64">
        <f>J17/K9</f>
        <v>0.44107607398996901</v>
      </c>
      <c r="K21" s="65"/>
      <c r="L21" s="66"/>
      <c r="Q21" s="25">
        <f>Q20/20</f>
        <v>33455.550000000003</v>
      </c>
    </row>
    <row r="22" spans="2:17" ht="31.05" customHeight="1" x14ac:dyDescent="0.3">
      <c r="Q22" s="25">
        <f>Q21/365</f>
        <v>91.659041095890416</v>
      </c>
    </row>
    <row r="23" spans="2:17" ht="31.05" customHeight="1" x14ac:dyDescent="0.3">
      <c r="Q23" s="25">
        <f>Q22/24</f>
        <v>3.8191267123287673</v>
      </c>
    </row>
    <row r="25" spans="2:17"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18">
    <mergeCell ref="B20:L20"/>
    <mergeCell ref="B2:C3"/>
    <mergeCell ref="D2:F2"/>
    <mergeCell ref="G2:I2"/>
    <mergeCell ref="J2:L2"/>
    <mergeCell ref="B4:B9"/>
    <mergeCell ref="D4:I14"/>
    <mergeCell ref="B10:B14"/>
    <mergeCell ref="B16:L16"/>
    <mergeCell ref="D17:I19"/>
    <mergeCell ref="J17:L17"/>
    <mergeCell ref="J18:L18"/>
    <mergeCell ref="J19:L19"/>
    <mergeCell ref="B21:C21"/>
    <mergeCell ref="D21:I21"/>
    <mergeCell ref="J21:L21"/>
    <mergeCell ref="B61:B62"/>
    <mergeCell ref="C61:D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B4FA9-8BAD-49EB-91D2-8EDAB0C6C389}">
  <dimension ref="A2:AJ97"/>
  <sheetViews>
    <sheetView zoomScale="60" zoomScaleNormal="60" workbookViewId="0">
      <selection activeCell="B20" sqref="B20:L20"/>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76" t="s">
        <v>12</v>
      </c>
      <c r="C2" s="76"/>
      <c r="D2" s="73" t="s">
        <v>38</v>
      </c>
      <c r="E2" s="73"/>
      <c r="F2" s="73"/>
      <c r="G2" s="73" t="s">
        <v>39</v>
      </c>
      <c r="H2" s="73"/>
      <c r="I2" s="73"/>
      <c r="J2" s="73" t="s">
        <v>40</v>
      </c>
      <c r="K2" s="73"/>
      <c r="L2" s="73"/>
      <c r="N2" s="3" t="s">
        <v>58</v>
      </c>
    </row>
    <row r="3" spans="2:14" ht="31.05" customHeight="1" thickBot="1" x14ac:dyDescent="0.35">
      <c r="B3" s="77"/>
      <c r="C3" s="77"/>
      <c r="D3" s="34" t="s">
        <v>0</v>
      </c>
      <c r="E3" s="34" t="s">
        <v>1</v>
      </c>
      <c r="F3" s="35" t="s">
        <v>17</v>
      </c>
      <c r="G3" s="34" t="s">
        <v>0</v>
      </c>
      <c r="H3" s="34" t="s">
        <v>1</v>
      </c>
      <c r="I3" s="36" t="s">
        <v>17</v>
      </c>
      <c r="J3" s="34" t="s">
        <v>0</v>
      </c>
      <c r="K3" s="34" t="s">
        <v>1</v>
      </c>
      <c r="L3" s="35" t="s">
        <v>17</v>
      </c>
      <c r="N3" s="3" t="s">
        <v>60</v>
      </c>
    </row>
    <row r="4" spans="2:14" ht="31.05" customHeight="1" thickTop="1" x14ac:dyDescent="0.3">
      <c r="B4" s="74" t="s">
        <v>41</v>
      </c>
      <c r="C4" s="32" t="s">
        <v>42</v>
      </c>
      <c r="D4" s="33">
        <f>SUM(D5,D7:D9)</f>
        <v>18583.05</v>
      </c>
      <c r="E4" s="33">
        <f>SUM(E5,E7:E9)</f>
        <v>19072.13</v>
      </c>
      <c r="F4" s="45">
        <f>(E4-D4)/D4</f>
        <v>2.6318607548276616E-2</v>
      </c>
      <c r="G4" s="33">
        <f t="shared" ref="G4:J4" si="0">SUM(G5,G7:G9)</f>
        <v>24854.879999999997</v>
      </c>
      <c r="H4" s="33">
        <f t="shared" si="0"/>
        <v>25002.320000000003</v>
      </c>
      <c r="I4" s="45">
        <f>(H4-G4)/G4</f>
        <v>5.9320342725455114E-3</v>
      </c>
      <c r="J4" s="33">
        <f t="shared" si="0"/>
        <v>25083.850000000002</v>
      </c>
      <c r="K4" s="33">
        <f>SUM(K5,K7:K9)</f>
        <v>25113.649999999998</v>
      </c>
      <c r="L4" s="45">
        <f>(K4-J4)/J4</f>
        <v>1.1880153963604325E-3</v>
      </c>
      <c r="N4" s="3" t="s">
        <v>59</v>
      </c>
    </row>
    <row r="5" spans="2:14" ht="31.05" customHeight="1" x14ac:dyDescent="0.3">
      <c r="B5" s="74"/>
      <c r="C5" s="27" t="s">
        <v>13</v>
      </c>
      <c r="D5" s="7">
        <v>13372.24</v>
      </c>
      <c r="E5" s="7">
        <v>13366.85</v>
      </c>
      <c r="F5" s="45">
        <f t="shared" ref="F5:F13" si="1">(E5-D5)/D5</f>
        <v>-4.0307383056237533E-4</v>
      </c>
      <c r="G5" s="7">
        <v>13718.91</v>
      </c>
      <c r="H5" s="7">
        <v>13656.76</v>
      </c>
      <c r="I5" s="45">
        <f t="shared" ref="I5:I13" si="2">(H5-G5)/G5</f>
        <v>-4.5302432919233117E-3</v>
      </c>
      <c r="J5" s="7">
        <v>13956.53</v>
      </c>
      <c r="K5" s="7">
        <v>13868.98</v>
      </c>
      <c r="L5" s="45">
        <f t="shared" ref="L5:L13" si="3">(K5-J5)/J5</f>
        <v>-6.2730492464818325E-3</v>
      </c>
      <c r="N5" s="3" t="s">
        <v>61</v>
      </c>
    </row>
    <row r="6" spans="2:14"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4" ht="31.05" customHeight="1" x14ac:dyDescent="0.3">
      <c r="B7" s="74"/>
      <c r="C7" s="28" t="s">
        <v>19</v>
      </c>
      <c r="D7" s="7">
        <v>4883.6499999999996</v>
      </c>
      <c r="E7" s="7">
        <v>4836.79</v>
      </c>
      <c r="F7" s="45">
        <f t="shared" si="1"/>
        <v>-9.5952822171940406E-3</v>
      </c>
      <c r="G7" s="7">
        <v>10127.69</v>
      </c>
      <c r="H7" s="7">
        <v>10041.709999999999</v>
      </c>
      <c r="I7" s="45">
        <f t="shared" si="2"/>
        <v>-8.4895963442800267E-3</v>
      </c>
      <c r="J7" s="7">
        <v>10113.94</v>
      </c>
      <c r="K7" s="7">
        <v>9694.94</v>
      </c>
      <c r="L7" s="45">
        <f t="shared" si="3"/>
        <v>-4.1427969713089062E-2</v>
      </c>
      <c r="N7" s="3" t="s">
        <v>62</v>
      </c>
    </row>
    <row r="8" spans="2:14" ht="31.05" customHeight="1" x14ac:dyDescent="0.3">
      <c r="B8" s="74"/>
      <c r="C8" s="28" t="s">
        <v>15</v>
      </c>
      <c r="D8" s="9"/>
      <c r="E8" s="9">
        <v>868.49</v>
      </c>
      <c r="F8" s="45" t="s">
        <v>14</v>
      </c>
      <c r="G8" s="46"/>
      <c r="H8" s="7">
        <v>906.74</v>
      </c>
      <c r="I8" s="45" t="s">
        <v>14</v>
      </c>
      <c r="J8" s="7"/>
      <c r="K8" s="7">
        <v>1034.23</v>
      </c>
      <c r="L8" s="45" t="s">
        <v>14</v>
      </c>
    </row>
    <row r="9" spans="2:14" ht="31.05" customHeight="1" thickBot="1" x14ac:dyDescent="0.35">
      <c r="B9" s="75"/>
      <c r="C9" s="29" t="s">
        <v>16</v>
      </c>
      <c r="D9" s="12">
        <v>327.16000000000003</v>
      </c>
      <c r="E9" s="12">
        <v>0</v>
      </c>
      <c r="F9" s="45">
        <f t="shared" si="1"/>
        <v>-1</v>
      </c>
      <c r="G9" s="17">
        <v>1008.28</v>
      </c>
      <c r="H9" s="17">
        <v>397.11</v>
      </c>
      <c r="I9" s="45">
        <f t="shared" si="2"/>
        <v>-0.60615106914745898</v>
      </c>
      <c r="J9" s="17">
        <v>1013.38</v>
      </c>
      <c r="K9" s="17">
        <v>515.5</v>
      </c>
      <c r="L9" s="45">
        <f t="shared" si="3"/>
        <v>-0.49130632141940833</v>
      </c>
    </row>
    <row r="10" spans="2:14" ht="31.05" customHeight="1" thickTop="1" x14ac:dyDescent="0.3">
      <c r="B10" s="78" t="s">
        <v>43</v>
      </c>
      <c r="C10" s="27" t="s">
        <v>44</v>
      </c>
      <c r="D10" s="15">
        <f>SUM(D11:D13)</f>
        <v>19795.399999999998</v>
      </c>
      <c r="E10" s="15">
        <f>SUM(E11:E13)</f>
        <v>19148.439999999999</v>
      </c>
      <c r="F10" s="45">
        <f t="shared" si="1"/>
        <v>-3.2682340341695502E-2</v>
      </c>
      <c r="G10" s="15">
        <f t="shared" ref="G10:K10" si="4">SUM(G11:G13)</f>
        <v>17336.28</v>
      </c>
      <c r="H10" s="15">
        <f t="shared" si="4"/>
        <v>17129.22</v>
      </c>
      <c r="I10" s="45">
        <f t="shared" si="2"/>
        <v>-1.1943738795173917E-2</v>
      </c>
      <c r="J10" s="15">
        <f t="shared" si="4"/>
        <v>15795.179999999998</v>
      </c>
      <c r="K10" s="15">
        <f t="shared" si="4"/>
        <v>15689.6</v>
      </c>
      <c r="L10" s="45">
        <f t="shared" si="3"/>
        <v>-6.684317620945005E-3</v>
      </c>
    </row>
    <row r="11" spans="2:14" ht="31.05" customHeight="1" x14ac:dyDescent="0.3">
      <c r="B11" s="74"/>
      <c r="C11" s="27" t="s">
        <v>20</v>
      </c>
      <c r="D11" s="7">
        <v>16350.38</v>
      </c>
      <c r="E11" s="7">
        <v>15780.67</v>
      </c>
      <c r="F11" s="45">
        <f t="shared" si="1"/>
        <v>-3.4843838491827046E-2</v>
      </c>
      <c r="G11" s="7">
        <v>13898.18</v>
      </c>
      <c r="H11" s="7">
        <v>13731.35</v>
      </c>
      <c r="I11" s="45">
        <f t="shared" si="2"/>
        <v>-1.2003729984789369E-2</v>
      </c>
      <c r="J11" s="7">
        <v>12651.8</v>
      </c>
      <c r="K11" s="7">
        <v>12555.85</v>
      </c>
      <c r="L11" s="45">
        <f t="shared" si="3"/>
        <v>-7.5839011049810235E-3</v>
      </c>
    </row>
    <row r="12" spans="2:14" ht="31.05" customHeight="1" x14ac:dyDescent="0.3">
      <c r="B12" s="74"/>
      <c r="C12" s="27" t="s">
        <v>21</v>
      </c>
      <c r="D12" s="7">
        <v>1712.99</v>
      </c>
      <c r="E12" s="16">
        <v>1672.97</v>
      </c>
      <c r="F12" s="45">
        <f t="shared" si="1"/>
        <v>-2.3362658275880174E-2</v>
      </c>
      <c r="G12" s="7">
        <v>1346.58</v>
      </c>
      <c r="H12" s="16">
        <v>1329.84</v>
      </c>
      <c r="I12" s="45">
        <f t="shared" si="2"/>
        <v>-1.2431493115893604E-2</v>
      </c>
      <c r="J12" s="7">
        <v>1218.49</v>
      </c>
      <c r="K12" s="16">
        <v>1217.48</v>
      </c>
      <c r="L12" s="45">
        <f t="shared" si="3"/>
        <v>-8.2889477960425685E-4</v>
      </c>
    </row>
    <row r="13" spans="2:14" ht="31.05" customHeight="1" x14ac:dyDescent="0.3">
      <c r="B13" s="74"/>
      <c r="C13" s="38" t="s">
        <v>22</v>
      </c>
      <c r="D13" s="39">
        <v>1732.03</v>
      </c>
      <c r="E13" s="39">
        <v>1694.8</v>
      </c>
      <c r="F13" s="45">
        <f t="shared" si="1"/>
        <v>-2.1495008746961669E-2</v>
      </c>
      <c r="G13" s="39">
        <v>2091.52</v>
      </c>
      <c r="H13" s="39">
        <v>2068.0300000000002</v>
      </c>
      <c r="I13" s="45">
        <f t="shared" si="2"/>
        <v>-1.1231066401468684E-2</v>
      </c>
      <c r="J13" s="39">
        <v>1924.89</v>
      </c>
      <c r="K13" s="39">
        <v>1916.27</v>
      </c>
      <c r="L13" s="45">
        <f t="shared" si="3"/>
        <v>-4.4781779738063566E-3</v>
      </c>
    </row>
    <row r="14" spans="2:14" ht="31.05" customHeight="1" thickBot="1" x14ac:dyDescent="0.35">
      <c r="B14" s="34"/>
      <c r="C14" s="30" t="s">
        <v>48</v>
      </c>
      <c r="D14" s="17">
        <v>0</v>
      </c>
      <c r="E14" s="17">
        <v>0</v>
      </c>
      <c r="F14" s="45" t="s">
        <v>14</v>
      </c>
      <c r="G14" s="17">
        <v>0</v>
      </c>
      <c r="H14" s="17">
        <v>0</v>
      </c>
      <c r="I14" s="45" t="s">
        <v>14</v>
      </c>
      <c r="J14" s="17">
        <v>0</v>
      </c>
      <c r="K14" s="17">
        <v>0</v>
      </c>
      <c r="L14" s="45" t="s">
        <v>14</v>
      </c>
    </row>
    <row r="15" spans="2:14" s="21" customFormat="1" ht="31.05" customHeight="1" thickTop="1" x14ac:dyDescent="0.3">
      <c r="B15" s="41" t="s">
        <v>35</v>
      </c>
      <c r="C15" s="41"/>
      <c r="D15" s="42">
        <f>D4+D10</f>
        <v>38378.449999999997</v>
      </c>
      <c r="E15" s="42">
        <f>E4+E10</f>
        <v>38220.57</v>
      </c>
      <c r="F15" s="43">
        <f t="shared" ref="F15" si="5">(E15-D15)/D15</f>
        <v>-4.1137669707869235E-3</v>
      </c>
      <c r="G15" s="42">
        <f>G4+G10</f>
        <v>42191.159999999996</v>
      </c>
      <c r="H15" s="42">
        <f>H4+H10</f>
        <v>42131.540000000008</v>
      </c>
      <c r="I15" s="43">
        <f t="shared" ref="I15" si="6">(H15-G15)/G15</f>
        <v>-1.4130922212138295E-3</v>
      </c>
      <c r="J15" s="42">
        <f>J4+J10</f>
        <v>40879.03</v>
      </c>
      <c r="K15" s="42">
        <f>K4+K10</f>
        <v>40803.25</v>
      </c>
      <c r="L15" s="43">
        <f t="shared" ref="L15" si="7">(K15-J15)/J15</f>
        <v>-1.8537621856487014E-3</v>
      </c>
    </row>
    <row r="16" spans="2:14"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157.87999999999738</v>
      </c>
      <c r="E17" s="71"/>
      <c r="F17" s="72"/>
      <c r="G17" s="70">
        <f>G15-H15</f>
        <v>59.619999999988067</v>
      </c>
      <c r="H17" s="71"/>
      <c r="I17" s="72"/>
      <c r="J17" s="70">
        <f>J15-K15</f>
        <v>75.779999999998836</v>
      </c>
      <c r="K17" s="71"/>
      <c r="L17" s="72"/>
    </row>
    <row r="18" spans="2:12" ht="31.05" customHeight="1" x14ac:dyDescent="0.3">
      <c r="B18" s="6"/>
      <c r="C18" s="27" t="s">
        <v>36</v>
      </c>
      <c r="D18" s="55">
        <f>D4-E4</f>
        <v>-489.08000000000175</v>
      </c>
      <c r="E18" s="56"/>
      <c r="F18" s="57"/>
      <c r="G18" s="55">
        <f>G4-H4</f>
        <v>-147.44000000000597</v>
      </c>
      <c r="H18" s="56"/>
      <c r="I18" s="57"/>
      <c r="J18" s="55">
        <f>J4-K4</f>
        <v>-29.799999999995634</v>
      </c>
      <c r="K18" s="56"/>
      <c r="L18" s="57"/>
    </row>
    <row r="19" spans="2:12" ht="31.05" customHeight="1" x14ac:dyDescent="0.3">
      <c r="B19" s="6"/>
      <c r="C19" s="27" t="s">
        <v>37</v>
      </c>
      <c r="D19" s="55">
        <f>D10-E10</f>
        <v>646.95999999999913</v>
      </c>
      <c r="E19" s="56"/>
      <c r="F19" s="57"/>
      <c r="G19" s="55">
        <f>G10-H10</f>
        <v>207.05999999999767</v>
      </c>
      <c r="H19" s="56"/>
      <c r="I19" s="57"/>
      <c r="J19" s="55">
        <f>J10-K10</f>
        <v>105.57999999999811</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0.18178677935266654</v>
      </c>
      <c r="E21" s="65"/>
      <c r="F21" s="66"/>
      <c r="G21" s="64">
        <f>G17/H9</f>
        <v>0.15013472337636441</v>
      </c>
      <c r="H21" s="65"/>
      <c r="I21" s="66"/>
      <c r="J21" s="64">
        <f>J17/K9</f>
        <v>0.147002909796312</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10:B13"/>
    <mergeCell ref="B2:C3"/>
    <mergeCell ref="D2:F2"/>
    <mergeCell ref="G2:I2"/>
    <mergeCell ref="J2:L2"/>
    <mergeCell ref="B4:B9"/>
    <mergeCell ref="B16:L16"/>
    <mergeCell ref="D17:F17"/>
    <mergeCell ref="G17:I17"/>
    <mergeCell ref="J17:L17"/>
    <mergeCell ref="D18:F18"/>
    <mergeCell ref="G18:I18"/>
    <mergeCell ref="J18:L18"/>
    <mergeCell ref="B61:B62"/>
    <mergeCell ref="C61:D61"/>
    <mergeCell ref="D19:F19"/>
    <mergeCell ref="G19:I19"/>
    <mergeCell ref="J19:L19"/>
    <mergeCell ref="B20:L20"/>
    <mergeCell ref="B21:C21"/>
    <mergeCell ref="D21:F21"/>
    <mergeCell ref="G21:I21"/>
    <mergeCell ref="J21:L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E7F3-5583-44BF-BAAE-589642D3D2FA}">
  <dimension ref="A2:AJ97"/>
  <sheetViews>
    <sheetView zoomScale="60" zoomScaleNormal="60" workbookViewId="0">
      <selection activeCell="P14" sqref="P14"/>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76" t="s">
        <v>12</v>
      </c>
      <c r="C2" s="76"/>
      <c r="D2" s="73" t="s">
        <v>38</v>
      </c>
      <c r="E2" s="73"/>
      <c r="F2" s="73"/>
      <c r="G2" s="73" t="s">
        <v>39</v>
      </c>
      <c r="H2" s="73"/>
      <c r="I2" s="73"/>
      <c r="J2" s="73" t="s">
        <v>40</v>
      </c>
      <c r="K2" s="73"/>
      <c r="L2" s="73"/>
      <c r="N2" s="3" t="s">
        <v>58</v>
      </c>
    </row>
    <row r="3" spans="2:14" ht="31.05" customHeight="1" thickBot="1" x14ac:dyDescent="0.35">
      <c r="B3" s="77"/>
      <c r="C3" s="77"/>
      <c r="D3" s="34" t="s">
        <v>0</v>
      </c>
      <c r="E3" s="34" t="s">
        <v>1</v>
      </c>
      <c r="F3" s="35" t="s">
        <v>17</v>
      </c>
      <c r="G3" s="34" t="s">
        <v>0</v>
      </c>
      <c r="H3" s="34" t="s">
        <v>1</v>
      </c>
      <c r="I3" s="36" t="s">
        <v>17</v>
      </c>
      <c r="J3" s="34" t="s">
        <v>0</v>
      </c>
      <c r="K3" s="34" t="s">
        <v>1</v>
      </c>
      <c r="L3" s="35" t="s">
        <v>17</v>
      </c>
      <c r="N3" s="3" t="s">
        <v>60</v>
      </c>
    </row>
    <row r="4" spans="2:14" ht="31.05" customHeight="1" thickTop="1" x14ac:dyDescent="0.3">
      <c r="B4" s="74" t="s">
        <v>41</v>
      </c>
      <c r="C4" s="32" t="s">
        <v>42</v>
      </c>
      <c r="D4" s="33">
        <f>SUM(D5,D7:D9)</f>
        <v>19021.3</v>
      </c>
      <c r="E4" s="33">
        <f>SUM(E5,E7:E9)</f>
        <v>20185.96</v>
      </c>
      <c r="F4" s="45">
        <f>(E4-D4)/D4</f>
        <v>6.1229253521052712E-2</v>
      </c>
      <c r="G4" s="33">
        <f t="shared" ref="G4:J4" si="0">SUM(G5,G7:G9)</f>
        <v>26006.18</v>
      </c>
      <c r="H4" s="33">
        <f t="shared" si="0"/>
        <v>26460.58</v>
      </c>
      <c r="I4" s="45">
        <f>(H4-G4)/G4</f>
        <v>1.7472769933915763E-2</v>
      </c>
      <c r="J4" s="33">
        <f t="shared" si="0"/>
        <v>26502.300000000003</v>
      </c>
      <c r="K4" s="33">
        <f>SUM(K5,K7:K9)</f>
        <v>26592.71</v>
      </c>
      <c r="L4" s="45">
        <f>(K4-J4)/J4</f>
        <v>3.4114020292576948E-3</v>
      </c>
      <c r="N4" s="3" t="s">
        <v>59</v>
      </c>
    </row>
    <row r="5" spans="2:14" ht="31.05" customHeight="1" x14ac:dyDescent="0.3">
      <c r="B5" s="74"/>
      <c r="C5" s="27" t="s">
        <v>13</v>
      </c>
      <c r="D5" s="7">
        <v>13382.71</v>
      </c>
      <c r="E5" s="7">
        <v>13372.05</v>
      </c>
      <c r="F5" s="45">
        <f t="shared" ref="F5:F13" si="1">(E5-D5)/D5</f>
        <v>-7.9655017556233792E-4</v>
      </c>
      <c r="G5" s="7">
        <v>13734.29</v>
      </c>
      <c r="H5" s="7">
        <v>13664.17</v>
      </c>
      <c r="I5" s="45">
        <f t="shared" ref="I5:I13" si="2">(H5-G5)/G5</f>
        <v>-5.105469594715183E-3</v>
      </c>
      <c r="J5" s="7">
        <v>13986.1</v>
      </c>
      <c r="K5" s="7">
        <v>13904.09</v>
      </c>
      <c r="L5" s="45">
        <f t="shared" ref="L5:L13" si="3">(K5-J5)/J5</f>
        <v>-5.8636789383745445E-3</v>
      </c>
      <c r="N5" s="3" t="s">
        <v>92</v>
      </c>
    </row>
    <row r="6" spans="2:14"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4" ht="31.05" customHeight="1" x14ac:dyDescent="0.3">
      <c r="B7" s="74"/>
      <c r="C7" s="28" t="s">
        <v>19</v>
      </c>
      <c r="D7" s="7">
        <v>4843.8100000000004</v>
      </c>
      <c r="E7" s="7">
        <v>4814.58</v>
      </c>
      <c r="F7" s="45">
        <f t="shared" si="1"/>
        <v>-6.0345058951528797E-3</v>
      </c>
      <c r="G7" s="7">
        <v>10201.450000000001</v>
      </c>
      <c r="H7" s="7">
        <v>10001.66</v>
      </c>
      <c r="I7" s="45">
        <f t="shared" si="2"/>
        <v>-1.9584470835028438E-2</v>
      </c>
      <c r="J7" s="7">
        <v>10156.299999999999</v>
      </c>
      <c r="K7" s="7">
        <v>9841.07</v>
      </c>
      <c r="L7" s="45">
        <f t="shared" si="3"/>
        <v>-3.1037877967369967E-2</v>
      </c>
      <c r="N7" s="3" t="s">
        <v>93</v>
      </c>
    </row>
    <row r="8" spans="2:14" ht="31.05" customHeight="1" x14ac:dyDescent="0.3">
      <c r="B8" s="74"/>
      <c r="C8" s="28" t="s">
        <v>15</v>
      </c>
      <c r="D8" s="9"/>
      <c r="E8" s="9">
        <v>1998.08</v>
      </c>
      <c r="F8" s="45" t="s">
        <v>14</v>
      </c>
      <c r="G8" s="46"/>
      <c r="H8" s="7">
        <v>1998.02</v>
      </c>
      <c r="I8" s="45" t="s">
        <v>14</v>
      </c>
      <c r="J8" s="7"/>
      <c r="K8" s="7">
        <v>1964.7</v>
      </c>
      <c r="L8" s="45" t="s">
        <v>14</v>
      </c>
    </row>
    <row r="9" spans="2:14" ht="31.05" customHeight="1" thickBot="1" x14ac:dyDescent="0.35">
      <c r="B9" s="75"/>
      <c r="C9" s="29" t="s">
        <v>16</v>
      </c>
      <c r="D9" s="12">
        <v>794.78</v>
      </c>
      <c r="E9" s="12">
        <v>1.25</v>
      </c>
      <c r="F9" s="45">
        <f t="shared" si="1"/>
        <v>-0.99842723772616326</v>
      </c>
      <c r="G9" s="17">
        <v>2070.44</v>
      </c>
      <c r="H9" s="17">
        <v>796.73</v>
      </c>
      <c r="I9" s="45">
        <f t="shared" si="2"/>
        <v>-0.61518807596452929</v>
      </c>
      <c r="J9" s="17">
        <v>2359.9</v>
      </c>
      <c r="K9" s="17">
        <v>882.85</v>
      </c>
      <c r="L9" s="45">
        <f t="shared" si="3"/>
        <v>-0.6258951650493666</v>
      </c>
    </row>
    <row r="10" spans="2:14" ht="31.05" customHeight="1" thickTop="1" x14ac:dyDescent="0.3">
      <c r="B10" s="78" t="s">
        <v>43</v>
      </c>
      <c r="C10" s="27" t="s">
        <v>44</v>
      </c>
      <c r="D10" s="15">
        <f>SUM(D11:D13)</f>
        <v>21804.620000000003</v>
      </c>
      <c r="E10" s="15">
        <f>SUM(E11:E13)</f>
        <v>20294.73</v>
      </c>
      <c r="F10" s="45">
        <f t="shared" si="1"/>
        <v>-6.9246334033796639E-2</v>
      </c>
      <c r="G10" s="15">
        <f t="shared" ref="G10:K10" si="4">SUM(G11:G13)</f>
        <v>18669.32</v>
      </c>
      <c r="H10" s="15">
        <f t="shared" si="4"/>
        <v>17994.079999999998</v>
      </c>
      <c r="I10" s="45">
        <f t="shared" si="2"/>
        <v>-3.6168430344543971E-2</v>
      </c>
      <c r="J10" s="15">
        <f t="shared" si="4"/>
        <v>16885.96</v>
      </c>
      <c r="K10" s="15">
        <f t="shared" si="4"/>
        <v>16546.62</v>
      </c>
      <c r="L10" s="45">
        <f t="shared" si="3"/>
        <v>-2.0095985066883978E-2</v>
      </c>
    </row>
    <row r="11" spans="2:14" ht="31.05" customHeight="1" x14ac:dyDescent="0.3">
      <c r="B11" s="74"/>
      <c r="C11" s="27" t="s">
        <v>20</v>
      </c>
      <c r="D11" s="7">
        <v>18142.82</v>
      </c>
      <c r="E11" s="7">
        <v>16812.7</v>
      </c>
      <c r="F11" s="45">
        <f t="shared" si="1"/>
        <v>-7.3313850878749781E-2</v>
      </c>
      <c r="G11" s="7">
        <v>14974.85</v>
      </c>
      <c r="H11" s="7">
        <v>14461.08</v>
      </c>
      <c r="I11" s="45">
        <f t="shared" si="2"/>
        <v>-3.4308857851664654E-2</v>
      </c>
      <c r="J11" s="7">
        <v>13582.33</v>
      </c>
      <c r="K11" s="7">
        <v>13306.76</v>
      </c>
      <c r="L11" s="45">
        <f t="shared" si="3"/>
        <v>-2.0288860600500776E-2</v>
      </c>
    </row>
    <row r="12" spans="2:14" ht="31.05" customHeight="1" x14ac:dyDescent="0.3">
      <c r="B12" s="74"/>
      <c r="C12" s="27" t="s">
        <v>21</v>
      </c>
      <c r="D12" s="7">
        <v>1855.08</v>
      </c>
      <c r="E12" s="16">
        <v>1757.87</v>
      </c>
      <c r="F12" s="45">
        <f t="shared" si="1"/>
        <v>-5.2402052741660758E-2</v>
      </c>
      <c r="G12" s="7">
        <v>1482.23</v>
      </c>
      <c r="H12" s="16">
        <v>1404.64</v>
      </c>
      <c r="I12" s="45">
        <f t="shared" si="2"/>
        <v>-5.2346801778401404E-2</v>
      </c>
      <c r="J12" s="7">
        <v>1307.29</v>
      </c>
      <c r="K12" s="16">
        <v>1286.56</v>
      </c>
      <c r="L12" s="45">
        <f t="shared" si="3"/>
        <v>-1.5857231371769094E-2</v>
      </c>
    </row>
    <row r="13" spans="2:14" ht="31.05" customHeight="1" x14ac:dyDescent="0.3">
      <c r="B13" s="74"/>
      <c r="C13" s="38" t="s">
        <v>22</v>
      </c>
      <c r="D13" s="39">
        <v>1806.72</v>
      </c>
      <c r="E13" s="39">
        <v>1724.16</v>
      </c>
      <c r="F13" s="45">
        <f t="shared" si="1"/>
        <v>-4.5696068012752361E-2</v>
      </c>
      <c r="G13" s="39">
        <v>2212.2399999999998</v>
      </c>
      <c r="H13" s="39">
        <v>2128.36</v>
      </c>
      <c r="I13" s="45">
        <f t="shared" si="2"/>
        <v>-3.791632010993367E-2</v>
      </c>
      <c r="J13" s="39">
        <v>1996.34</v>
      </c>
      <c r="K13" s="39">
        <v>1953.3</v>
      </c>
      <c r="L13" s="45">
        <f t="shared" si="3"/>
        <v>-2.1559453800454816E-2</v>
      </c>
    </row>
    <row r="14" spans="2:14" ht="31.05" customHeight="1" thickBot="1" x14ac:dyDescent="0.35">
      <c r="B14" s="34"/>
      <c r="C14" s="30" t="s">
        <v>48</v>
      </c>
      <c r="D14" s="17">
        <v>0</v>
      </c>
      <c r="E14" s="17">
        <v>0</v>
      </c>
      <c r="F14" s="45" t="s">
        <v>14</v>
      </c>
      <c r="G14" s="17">
        <v>0</v>
      </c>
      <c r="H14" s="17">
        <v>0</v>
      </c>
      <c r="I14" s="45" t="s">
        <v>14</v>
      </c>
      <c r="J14" s="17">
        <v>0</v>
      </c>
      <c r="K14" s="17">
        <v>0</v>
      </c>
      <c r="L14" s="45" t="s">
        <v>14</v>
      </c>
    </row>
    <row r="15" spans="2:14" s="21" customFormat="1" ht="31.05" customHeight="1" thickTop="1" x14ac:dyDescent="0.3">
      <c r="B15" s="41" t="s">
        <v>35</v>
      </c>
      <c r="C15" s="41"/>
      <c r="D15" s="42">
        <f>D4+D10</f>
        <v>40825.919999999998</v>
      </c>
      <c r="E15" s="42">
        <f>E4+E10</f>
        <v>40480.69</v>
      </c>
      <c r="F15" s="43">
        <f t="shared" ref="F15" si="5">(E15-D15)/D15</f>
        <v>-8.4561474670992332E-3</v>
      </c>
      <c r="G15" s="42">
        <f>G4+G10</f>
        <v>44675.5</v>
      </c>
      <c r="H15" s="42">
        <f>H4+H10</f>
        <v>44454.66</v>
      </c>
      <c r="I15" s="43">
        <f t="shared" ref="I15" si="6">(H15-G15)/G15</f>
        <v>-4.9432015310404247E-3</v>
      </c>
      <c r="J15" s="42">
        <f>J4+J10</f>
        <v>43388.26</v>
      </c>
      <c r="K15" s="42">
        <f>K4+K10</f>
        <v>43139.33</v>
      </c>
      <c r="L15" s="43">
        <f t="shared" ref="L15" si="7">(K15-J15)/J15</f>
        <v>-5.7372662558950339E-3</v>
      </c>
    </row>
    <row r="16" spans="2:14"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345.22999999999593</v>
      </c>
      <c r="E17" s="71"/>
      <c r="F17" s="72"/>
      <c r="G17" s="70">
        <f>G15-H15</f>
        <v>220.83999999999651</v>
      </c>
      <c r="H17" s="71"/>
      <c r="I17" s="72"/>
      <c r="J17" s="70">
        <f>J15-K15</f>
        <v>248.93000000000029</v>
      </c>
      <c r="K17" s="71"/>
      <c r="L17" s="72"/>
    </row>
    <row r="18" spans="2:12" ht="31.05" customHeight="1" x14ac:dyDescent="0.3">
      <c r="B18" s="6"/>
      <c r="C18" s="27" t="s">
        <v>36</v>
      </c>
      <c r="D18" s="55">
        <f>D4-E4</f>
        <v>-1164.6599999999999</v>
      </c>
      <c r="E18" s="56"/>
      <c r="F18" s="57"/>
      <c r="G18" s="55">
        <f>G4-H4</f>
        <v>-454.40000000000146</v>
      </c>
      <c r="H18" s="56"/>
      <c r="I18" s="57"/>
      <c r="J18" s="55">
        <f>J4-K4</f>
        <v>-90.409999999996217</v>
      </c>
      <c r="K18" s="56"/>
      <c r="L18" s="57"/>
    </row>
    <row r="19" spans="2:12" ht="31.05" customHeight="1" x14ac:dyDescent="0.3">
      <c r="B19" s="6"/>
      <c r="C19" s="27" t="s">
        <v>37</v>
      </c>
      <c r="D19" s="55">
        <f>D10-E10</f>
        <v>1509.8900000000031</v>
      </c>
      <c r="E19" s="56"/>
      <c r="F19" s="57"/>
      <c r="G19" s="55">
        <f>G10-H10</f>
        <v>675.2400000000016</v>
      </c>
      <c r="H19" s="56"/>
      <c r="I19" s="57"/>
      <c r="J19" s="55">
        <f>J10-K10</f>
        <v>339.34000000000015</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0.17278086963484743</v>
      </c>
      <c r="E21" s="65"/>
      <c r="F21" s="66"/>
      <c r="G21" s="64">
        <f>G17/H9</f>
        <v>0.27718298545303494</v>
      </c>
      <c r="H21" s="65"/>
      <c r="I21" s="66"/>
      <c r="J21" s="64">
        <f>J17/K9</f>
        <v>0.28196182817013116</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10:B13"/>
    <mergeCell ref="B2:C3"/>
    <mergeCell ref="D2:F2"/>
    <mergeCell ref="G2:I2"/>
    <mergeCell ref="J2:L2"/>
    <mergeCell ref="B4:B9"/>
    <mergeCell ref="B16:L16"/>
    <mergeCell ref="D17:F17"/>
    <mergeCell ref="G17:I17"/>
    <mergeCell ref="J17:L17"/>
    <mergeCell ref="D18:F18"/>
    <mergeCell ref="G18:I18"/>
    <mergeCell ref="J18:L18"/>
    <mergeCell ref="B61:B62"/>
    <mergeCell ref="C61:D61"/>
    <mergeCell ref="D19:F19"/>
    <mergeCell ref="G19:I19"/>
    <mergeCell ref="J19:L19"/>
    <mergeCell ref="B20:L20"/>
    <mergeCell ref="B21:C21"/>
    <mergeCell ref="D21:F21"/>
    <mergeCell ref="G21:I21"/>
    <mergeCell ref="J21:L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C4DF-E54B-43A8-8456-647C0432AD55}">
  <dimension ref="A2:AJ97"/>
  <sheetViews>
    <sheetView zoomScale="60" zoomScaleNormal="60" workbookViewId="0">
      <selection activeCell="N3" sqref="N3"/>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20339.769999999997</v>
      </c>
      <c r="E4" s="33">
        <f>SUM(E5,E7:E9)</f>
        <v>21611.079999999998</v>
      </c>
      <c r="F4" s="45">
        <f>(E4-D4)/D4</f>
        <v>6.2503656629352325E-2</v>
      </c>
      <c r="G4" s="33">
        <f t="shared" ref="G4:J4" si="0">SUM(G5,G7:G9)</f>
        <v>27772.28</v>
      </c>
      <c r="H4" s="33">
        <f t="shared" si="0"/>
        <v>28047.65</v>
      </c>
      <c r="I4" s="45">
        <f>(H4-G4)/G4</f>
        <v>9.9152824326991743E-3</v>
      </c>
      <c r="J4" s="33">
        <f t="shared" si="0"/>
        <v>28259.47</v>
      </c>
      <c r="K4" s="33">
        <f>SUM(K5,K7:K9)</f>
        <v>28251.059999999998</v>
      </c>
      <c r="L4" s="45">
        <f>(K4-J4)/J4</f>
        <v>-2.9759935342041068E-4</v>
      </c>
    </row>
    <row r="5" spans="2:12" ht="31.05" customHeight="1" x14ac:dyDescent="0.3">
      <c r="B5" s="74"/>
      <c r="C5" s="27" t="s">
        <v>13</v>
      </c>
      <c r="D5" s="7">
        <v>13380.05</v>
      </c>
      <c r="E5" s="7">
        <v>13364.84</v>
      </c>
      <c r="F5" s="45">
        <f t="shared" ref="F5:F13" si="1">(E5-D5)/D5</f>
        <v>-1.1367670524399481E-3</v>
      </c>
      <c r="G5" s="7">
        <v>13735.76</v>
      </c>
      <c r="H5" s="7">
        <v>13668.08</v>
      </c>
      <c r="I5" s="45">
        <f t="shared" ref="I5:I13" si="2">(H5-G5)/G5</f>
        <v>-4.9272846933842967E-3</v>
      </c>
      <c r="J5" s="7">
        <v>13988.82</v>
      </c>
      <c r="K5" s="7">
        <v>13913.63</v>
      </c>
      <c r="L5" s="45">
        <f t="shared" ref="L5:L13" si="3">(K5-J5)/J5</f>
        <v>-5.3750066124233862E-3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74"/>
      <c r="C7" s="28" t="s">
        <v>19</v>
      </c>
      <c r="D7" s="7">
        <v>4833.58</v>
      </c>
      <c r="E7" s="7">
        <v>4795.58</v>
      </c>
      <c r="F7" s="45">
        <f t="shared" si="1"/>
        <v>-7.8616677493700323E-3</v>
      </c>
      <c r="G7" s="7">
        <v>10224.51</v>
      </c>
      <c r="H7" s="7">
        <v>10103.780000000001</v>
      </c>
      <c r="I7" s="45">
        <f t="shared" si="2"/>
        <v>-1.1807900818718898E-2</v>
      </c>
      <c r="J7" s="7">
        <v>10161.76</v>
      </c>
      <c r="K7" s="7">
        <v>9870.19</v>
      </c>
      <c r="L7" s="45">
        <f t="shared" si="3"/>
        <v>-2.8692864228243898E-2</v>
      </c>
    </row>
    <row r="8" spans="2:12" ht="31.05" customHeight="1" x14ac:dyDescent="0.3">
      <c r="B8" s="74"/>
      <c r="C8" s="28" t="s">
        <v>15</v>
      </c>
      <c r="D8" s="9"/>
      <c r="E8" s="9">
        <v>3277.13</v>
      </c>
      <c r="F8" s="45" t="s">
        <v>14</v>
      </c>
      <c r="G8" s="46"/>
      <c r="H8" s="7">
        <v>2558.5500000000002</v>
      </c>
      <c r="I8" s="45" t="s">
        <v>14</v>
      </c>
      <c r="J8" s="7"/>
      <c r="K8" s="7">
        <v>2264.96</v>
      </c>
      <c r="L8" s="45" t="s">
        <v>14</v>
      </c>
    </row>
    <row r="9" spans="2:12" ht="31.05" customHeight="1" thickBot="1" x14ac:dyDescent="0.35">
      <c r="B9" s="75"/>
      <c r="C9" s="29" t="s">
        <v>16</v>
      </c>
      <c r="D9" s="12">
        <v>2126.14</v>
      </c>
      <c r="E9" s="12">
        <v>173.53</v>
      </c>
      <c r="F9" s="45">
        <f t="shared" si="1"/>
        <v>-0.91838260885924727</v>
      </c>
      <c r="G9" s="17">
        <v>3812.01</v>
      </c>
      <c r="H9" s="17">
        <v>1717.24</v>
      </c>
      <c r="I9" s="45">
        <f t="shared" si="2"/>
        <v>-0.5495184954918797</v>
      </c>
      <c r="J9" s="17">
        <v>4108.8900000000003</v>
      </c>
      <c r="K9" s="17">
        <v>2202.2800000000002</v>
      </c>
      <c r="L9" s="45">
        <f t="shared" si="3"/>
        <v>-0.46402069658715611</v>
      </c>
    </row>
    <row r="10" spans="2:12" ht="31.05" customHeight="1" thickTop="1" x14ac:dyDescent="0.3">
      <c r="B10" s="78" t="s">
        <v>43</v>
      </c>
      <c r="C10" s="27" t="s">
        <v>44</v>
      </c>
      <c r="D10" s="15">
        <f>SUM(D11:D13)</f>
        <v>22816.210000000003</v>
      </c>
      <c r="E10" s="15">
        <f>SUM(E11:E13)</f>
        <v>20912.750000000004</v>
      </c>
      <c r="F10" s="45">
        <f t="shared" si="1"/>
        <v>-8.3425774920549853E-2</v>
      </c>
      <c r="G10" s="15">
        <f t="shared" ref="G10:K10" si="4">SUM(G11:G13)</f>
        <v>18873.55</v>
      </c>
      <c r="H10" s="15">
        <f t="shared" si="4"/>
        <v>18310.919999999998</v>
      </c>
      <c r="I10" s="45">
        <f t="shared" si="2"/>
        <v>-2.9810501998829106E-2</v>
      </c>
      <c r="J10" s="15">
        <f t="shared" si="4"/>
        <v>16962.14</v>
      </c>
      <c r="K10" s="15">
        <f t="shared" si="4"/>
        <v>16701.740000000002</v>
      </c>
      <c r="L10" s="45">
        <f t="shared" si="3"/>
        <v>-1.5351836501762032E-2</v>
      </c>
    </row>
    <row r="11" spans="2:12" ht="31.05" customHeight="1" x14ac:dyDescent="0.3">
      <c r="B11" s="74"/>
      <c r="C11" s="27" t="s">
        <v>20</v>
      </c>
      <c r="D11" s="7">
        <v>18949.86</v>
      </c>
      <c r="E11" s="7">
        <v>17330.34</v>
      </c>
      <c r="F11" s="45">
        <f t="shared" si="1"/>
        <v>-8.5463428225854982E-2</v>
      </c>
      <c r="G11" s="7">
        <v>15137.15</v>
      </c>
      <c r="H11" s="7">
        <v>14713.08</v>
      </c>
      <c r="I11" s="45">
        <f t="shared" si="2"/>
        <v>-2.801518119328934E-2</v>
      </c>
      <c r="J11" s="7">
        <v>13643.05</v>
      </c>
      <c r="K11" s="7">
        <v>13426.03</v>
      </c>
      <c r="L11" s="45">
        <f t="shared" si="3"/>
        <v>-1.5907000267535384E-2</v>
      </c>
    </row>
    <row r="12" spans="2:12" ht="31.05" customHeight="1" x14ac:dyDescent="0.3">
      <c r="B12" s="74"/>
      <c r="C12" s="27" t="s">
        <v>21</v>
      </c>
      <c r="D12" s="7">
        <v>1972.11</v>
      </c>
      <c r="E12" s="16">
        <v>1843.67</v>
      </c>
      <c r="F12" s="45">
        <f t="shared" si="1"/>
        <v>-6.512821292929899E-2</v>
      </c>
      <c r="G12" s="7">
        <v>1502.26</v>
      </c>
      <c r="H12" s="16">
        <v>1423.09</v>
      </c>
      <c r="I12" s="45">
        <f t="shared" si="2"/>
        <v>-5.2700597766032559E-2</v>
      </c>
      <c r="J12" s="7">
        <v>1290.82</v>
      </c>
      <c r="K12" s="16">
        <v>1273.6199999999999</v>
      </c>
      <c r="L12" s="45">
        <f t="shared" si="3"/>
        <v>-1.3324863265211297E-2</v>
      </c>
    </row>
    <row r="13" spans="2:12" ht="31.05" customHeight="1" x14ac:dyDescent="0.3">
      <c r="B13" s="74"/>
      <c r="C13" s="38" t="s">
        <v>22</v>
      </c>
      <c r="D13" s="39">
        <v>1894.24</v>
      </c>
      <c r="E13" s="39">
        <v>1738.74</v>
      </c>
      <c r="F13" s="45">
        <f t="shared" si="1"/>
        <v>-8.2090970521158879E-2</v>
      </c>
      <c r="G13" s="39">
        <v>2234.14</v>
      </c>
      <c r="H13" s="39">
        <v>2174.75</v>
      </c>
      <c r="I13" s="45">
        <f t="shared" si="2"/>
        <v>-2.6582935715756342E-2</v>
      </c>
      <c r="J13" s="39">
        <v>2028.27</v>
      </c>
      <c r="K13" s="39">
        <v>2002.09</v>
      </c>
      <c r="L13" s="45">
        <f t="shared" si="3"/>
        <v>-1.2907551755929962E-2</v>
      </c>
    </row>
    <row r="14" spans="2:12" ht="31.05" customHeight="1" thickBot="1" x14ac:dyDescent="0.35">
      <c r="B14" s="75"/>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43155.979999999996</v>
      </c>
      <c r="E15" s="42">
        <f>E4+E10</f>
        <v>42523.83</v>
      </c>
      <c r="F15" s="43">
        <f t="shared" ref="F15" si="5">(E15-D15)/D15</f>
        <v>-1.4648027921043485E-2</v>
      </c>
      <c r="G15" s="42">
        <f>G4+G10</f>
        <v>46645.83</v>
      </c>
      <c r="H15" s="42">
        <f>H4+H10</f>
        <v>46358.57</v>
      </c>
      <c r="I15" s="43">
        <f t="shared" ref="I15" si="6">(H15-G15)/G15</f>
        <v>-6.1583211189510838E-3</v>
      </c>
      <c r="J15" s="42">
        <f>J4+J10</f>
        <v>45221.61</v>
      </c>
      <c r="K15" s="42">
        <f>K4+K10</f>
        <v>44952.800000000003</v>
      </c>
      <c r="L15" s="43">
        <f t="shared" ref="L15" si="7">(K15-J15)/J15</f>
        <v>-5.9442819483870139E-3</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632.14999999999418</v>
      </c>
      <c r="E17" s="71"/>
      <c r="F17" s="72"/>
      <c r="G17" s="70">
        <f>G15-H15</f>
        <v>287.26000000000204</v>
      </c>
      <c r="H17" s="71"/>
      <c r="I17" s="72"/>
      <c r="J17" s="70">
        <f>J15-K15</f>
        <v>268.80999999999767</v>
      </c>
      <c r="K17" s="71"/>
      <c r="L17" s="72"/>
    </row>
    <row r="18" spans="2:12" ht="31.05" customHeight="1" x14ac:dyDescent="0.3">
      <c r="B18" s="6"/>
      <c r="C18" s="27" t="s">
        <v>36</v>
      </c>
      <c r="D18" s="55">
        <f>D4-E4</f>
        <v>-1271.3100000000013</v>
      </c>
      <c r="E18" s="56"/>
      <c r="F18" s="57"/>
      <c r="G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 s="55">
        <f>G10-H10</f>
        <v>562.63000000000102</v>
      </c>
      <c r="H19" s="56"/>
      <c r="I19" s="57"/>
      <c r="J19" s="55">
        <f>J10-K10</f>
        <v>260.39999999999782</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0.1928974437999085</v>
      </c>
      <c r="E21" s="65"/>
      <c r="F21" s="66"/>
      <c r="G21" s="64">
        <f>G17/H9</f>
        <v>0.16728005404020524</v>
      </c>
      <c r="H21" s="65"/>
      <c r="I21" s="66"/>
      <c r="J21" s="64">
        <f>J17/K9</f>
        <v>0.12205986523057814</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944A-9E34-40E2-9052-04D321C96C41}">
  <dimension ref="A2:AJ97"/>
  <sheetViews>
    <sheetView zoomScale="60" zoomScaleNormal="60" workbookViewId="0">
      <selection activeCell="N16" sqref="N16"/>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76" t="s">
        <v>12</v>
      </c>
      <c r="C2" s="76"/>
      <c r="D2" s="73" t="s">
        <v>38</v>
      </c>
      <c r="E2" s="73"/>
      <c r="F2" s="73"/>
      <c r="G2" s="73" t="s">
        <v>39</v>
      </c>
      <c r="H2" s="73"/>
      <c r="I2" s="73"/>
      <c r="J2" s="73" t="s">
        <v>40</v>
      </c>
      <c r="K2" s="73"/>
      <c r="L2" s="73"/>
    </row>
    <row r="3" spans="2:12" ht="31.05" customHeight="1" thickBot="1" x14ac:dyDescent="0.35">
      <c r="B3" s="77"/>
      <c r="C3" s="77"/>
      <c r="D3" s="34" t="s">
        <v>0</v>
      </c>
      <c r="E3" s="34" t="s">
        <v>1</v>
      </c>
      <c r="F3" s="35" t="s">
        <v>17</v>
      </c>
      <c r="G3" s="34" t="s">
        <v>0</v>
      </c>
      <c r="H3" s="34" t="s">
        <v>1</v>
      </c>
      <c r="I3" s="36" t="s">
        <v>17</v>
      </c>
      <c r="J3" s="34" t="s">
        <v>0</v>
      </c>
      <c r="K3" s="34" t="s">
        <v>1</v>
      </c>
      <c r="L3" s="35" t="s">
        <v>17</v>
      </c>
    </row>
    <row r="4" spans="2:12" ht="31.05" customHeight="1" thickTop="1" x14ac:dyDescent="0.3">
      <c r="B4" s="74" t="s">
        <v>41</v>
      </c>
      <c r="C4" s="32" t="s">
        <v>42</v>
      </c>
      <c r="D4" s="33">
        <f>SUM(D5,D7:D9)</f>
        <v>20280.53</v>
      </c>
      <c r="E4" s="33">
        <f>SUM(E5,E7:E9)</f>
        <v>21631.67</v>
      </c>
      <c r="F4" s="45">
        <f>(E4-D4)/D4</f>
        <v>6.6622519233964769E-2</v>
      </c>
      <c r="G4" s="33">
        <f t="shared" ref="G4:J4" si="0">SUM(G5,G7:G9)</f>
        <v>27776.789999999997</v>
      </c>
      <c r="H4" s="33">
        <f t="shared" si="0"/>
        <v>28073.11</v>
      </c>
      <c r="I4" s="45">
        <f>(H4-G4)/G4</f>
        <v>1.0667899350501026E-2</v>
      </c>
      <c r="J4" s="33">
        <f t="shared" si="0"/>
        <v>28383.85</v>
      </c>
      <c r="K4" s="33">
        <f>SUM(K5,K7:K9)</f>
        <v>28290.190000000002</v>
      </c>
      <c r="L4" s="45">
        <f>(K4-J4)/J4</f>
        <v>-3.299763774117895E-3</v>
      </c>
    </row>
    <row r="5" spans="2:12" ht="31.05" customHeight="1" x14ac:dyDescent="0.3">
      <c r="B5" s="74"/>
      <c r="C5" s="27" t="s">
        <v>13</v>
      </c>
      <c r="D5" s="7">
        <v>13383.75</v>
      </c>
      <c r="E5" s="7">
        <v>13364.56</v>
      </c>
      <c r="F5" s="45">
        <f t="shared" ref="F5:F13" si="1">(E5-D5)/D5</f>
        <v>-1.4338283366022609E-3</v>
      </c>
      <c r="G5" s="7">
        <v>13742.09</v>
      </c>
      <c r="H5" s="7">
        <v>13682.51</v>
      </c>
      <c r="I5" s="45">
        <f t="shared" ref="I5:I13" si="2">(H5-G5)/G5</f>
        <v>-4.3355850529286245E-3</v>
      </c>
      <c r="J5" s="7">
        <v>14003.5</v>
      </c>
      <c r="K5" s="7">
        <v>13924.06</v>
      </c>
      <c r="L5" s="45">
        <f t="shared" ref="L5:L13" si="3">(K5-J5)/J5</f>
        <v>-5.6728674974113975E-3</v>
      </c>
    </row>
    <row r="6" spans="2:12" ht="31.05" hidden="1" customHeight="1" x14ac:dyDescent="0.3">
      <c r="B6" s="74"/>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74"/>
      <c r="C7" s="28" t="s">
        <v>19</v>
      </c>
      <c r="D7" s="7">
        <v>4855.7</v>
      </c>
      <c r="E7" s="7">
        <v>4801.5</v>
      </c>
      <c r="F7" s="45">
        <f t="shared" si="1"/>
        <v>-1.1162139341392553E-2</v>
      </c>
      <c r="G7" s="7">
        <v>10249.65</v>
      </c>
      <c r="H7" s="7">
        <v>10137.11</v>
      </c>
      <c r="I7" s="45">
        <f t="shared" si="2"/>
        <v>-1.0979887118096623E-2</v>
      </c>
      <c r="J7" s="7">
        <v>10219.84</v>
      </c>
      <c r="K7" s="7">
        <v>9891.94</v>
      </c>
      <c r="L7" s="45">
        <f t="shared" si="3"/>
        <v>-3.2084651031718661E-2</v>
      </c>
    </row>
    <row r="8" spans="2:12" ht="31.05" customHeight="1" x14ac:dyDescent="0.3">
      <c r="B8" s="74"/>
      <c r="C8" s="28" t="s">
        <v>15</v>
      </c>
      <c r="D8" s="9">
        <v>0</v>
      </c>
      <c r="E8" s="9">
        <v>3364.34</v>
      </c>
      <c r="F8" s="45" t="s">
        <v>14</v>
      </c>
      <c r="G8" s="46">
        <v>0</v>
      </c>
      <c r="H8" s="7">
        <v>2727.37</v>
      </c>
      <c r="I8" s="45" t="s">
        <v>14</v>
      </c>
      <c r="J8" s="7">
        <v>0</v>
      </c>
      <c r="K8" s="7">
        <v>2421.4299999999998</v>
      </c>
      <c r="L8" s="45" t="s">
        <v>14</v>
      </c>
    </row>
    <row r="9" spans="2:12" ht="31.05" customHeight="1" thickBot="1" x14ac:dyDescent="0.35">
      <c r="B9" s="75"/>
      <c r="C9" s="29" t="s">
        <v>16</v>
      </c>
      <c r="D9" s="12">
        <v>2041.08</v>
      </c>
      <c r="E9" s="12">
        <v>101.27</v>
      </c>
      <c r="F9" s="45">
        <f t="shared" si="1"/>
        <v>-0.95038411037293979</v>
      </c>
      <c r="G9" s="17">
        <v>3785.05</v>
      </c>
      <c r="H9" s="17">
        <v>1526.12</v>
      </c>
      <c r="I9" s="45">
        <f t="shared" si="2"/>
        <v>-0.596803212639199</v>
      </c>
      <c r="J9" s="17">
        <v>4160.51</v>
      </c>
      <c r="K9" s="17">
        <v>2052.7600000000002</v>
      </c>
      <c r="L9" s="45">
        <f t="shared" si="3"/>
        <v>-0.5066085648153712</v>
      </c>
    </row>
    <row r="10" spans="2:12" ht="31.05" customHeight="1" thickTop="1" x14ac:dyDescent="0.3">
      <c r="B10" s="78" t="s">
        <v>43</v>
      </c>
      <c r="C10" s="44" t="s">
        <v>44</v>
      </c>
      <c r="D10" s="15">
        <f>SUM(D11:D13)</f>
        <v>22943.789999999997</v>
      </c>
      <c r="E10" s="15">
        <f>SUM(E11:E13)</f>
        <v>20897.489999999998</v>
      </c>
      <c r="F10" s="45">
        <f t="shared" si="1"/>
        <v>-8.9187531789647639E-2</v>
      </c>
      <c r="G10" s="15">
        <f t="shared" ref="G10:K10" si="4">SUM(G11:G13)</f>
        <v>18962.77</v>
      </c>
      <c r="H10" s="15">
        <f t="shared" si="4"/>
        <v>18324.61</v>
      </c>
      <c r="I10" s="45">
        <f t="shared" si="2"/>
        <v>-3.3653311198733091E-2</v>
      </c>
      <c r="J10" s="15">
        <f t="shared" si="4"/>
        <v>16921.27</v>
      </c>
      <c r="K10" s="15">
        <f t="shared" si="4"/>
        <v>16704.580000000002</v>
      </c>
      <c r="L10" s="45">
        <f t="shared" si="3"/>
        <v>-1.2805776398579934E-2</v>
      </c>
    </row>
    <row r="11" spans="2:12" ht="31.05" customHeight="1" x14ac:dyDescent="0.3">
      <c r="B11" s="74"/>
      <c r="C11" s="27" t="s">
        <v>20</v>
      </c>
      <c r="D11" s="7">
        <v>19056.32</v>
      </c>
      <c r="E11" s="7">
        <v>17312.759999999998</v>
      </c>
      <c r="F11" s="45">
        <f t="shared" si="1"/>
        <v>-9.1495105036019611E-2</v>
      </c>
      <c r="G11" s="7">
        <v>15180.9</v>
      </c>
      <c r="H11" s="7">
        <v>14704.62</v>
      </c>
      <c r="I11" s="45">
        <f t="shared" si="2"/>
        <v>-3.1373633974270225E-2</v>
      </c>
      <c r="J11" s="7">
        <v>13596.89</v>
      </c>
      <c r="K11" s="7">
        <v>13408.43</v>
      </c>
      <c r="L11" s="45">
        <f t="shared" si="3"/>
        <v>-1.3860522516545999E-2</v>
      </c>
    </row>
    <row r="12" spans="2:12" ht="31.05" customHeight="1" x14ac:dyDescent="0.3">
      <c r="B12" s="74"/>
      <c r="C12" s="27" t="s">
        <v>21</v>
      </c>
      <c r="D12" s="7">
        <v>1982.78</v>
      </c>
      <c r="E12" s="16">
        <v>1846.33</v>
      </c>
      <c r="F12" s="45">
        <f t="shared" si="1"/>
        <v>-6.8817518837188216E-2</v>
      </c>
      <c r="G12" s="7">
        <v>1539.35</v>
      </c>
      <c r="H12" s="16">
        <v>1446.25</v>
      </c>
      <c r="I12" s="45">
        <f t="shared" si="2"/>
        <v>-6.0480072757982208E-2</v>
      </c>
      <c r="J12" s="7">
        <v>1314.13</v>
      </c>
      <c r="K12" s="16">
        <v>1306.6300000000001</v>
      </c>
      <c r="L12" s="45">
        <f t="shared" si="3"/>
        <v>-5.7071979180141992E-3</v>
      </c>
    </row>
    <row r="13" spans="2:12" ht="31.05" customHeight="1" x14ac:dyDescent="0.3">
      <c r="B13" s="74"/>
      <c r="C13" s="38" t="s">
        <v>22</v>
      </c>
      <c r="D13" s="39">
        <v>1904.69</v>
      </c>
      <c r="E13" s="39">
        <v>1738.4</v>
      </c>
      <c r="F13" s="45">
        <f t="shared" si="1"/>
        <v>-8.7305545784353344E-2</v>
      </c>
      <c r="G13" s="39">
        <v>2242.52</v>
      </c>
      <c r="H13" s="39">
        <v>2173.7399999999998</v>
      </c>
      <c r="I13" s="45">
        <f t="shared" si="2"/>
        <v>-3.067085243386913E-2</v>
      </c>
      <c r="J13" s="39">
        <v>2010.25</v>
      </c>
      <c r="K13" s="39">
        <v>1989.52</v>
      </c>
      <c r="L13" s="45">
        <f t="shared" si="3"/>
        <v>-1.0312150230070895E-2</v>
      </c>
    </row>
    <row r="14" spans="2:12" ht="31.05" customHeight="1" thickBot="1" x14ac:dyDescent="0.35">
      <c r="B14" s="75"/>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43224.319999999992</v>
      </c>
      <c r="E15" s="42">
        <f>E4+E10</f>
        <v>42529.159999999996</v>
      </c>
      <c r="F15" s="43">
        <f t="shared" ref="F15" si="5">(E15-D15)/D15</f>
        <v>-1.6082612751339903E-2</v>
      </c>
      <c r="G15" s="42">
        <f>G4+G10</f>
        <v>46739.56</v>
      </c>
      <c r="H15" s="42">
        <f>H4+H10</f>
        <v>46397.72</v>
      </c>
      <c r="I15" s="43">
        <f t="shared" ref="I15" si="6">(H15-G15)/G15</f>
        <v>-7.3137188283329269E-3</v>
      </c>
      <c r="J15" s="42">
        <f>J4+J10</f>
        <v>45305.119999999995</v>
      </c>
      <c r="K15" s="42">
        <f>K4+K10</f>
        <v>44994.770000000004</v>
      </c>
      <c r="L15" s="43">
        <f t="shared" ref="L15" si="7">(K15-J15)/J15</f>
        <v>-6.8502191363799788E-3</v>
      </c>
    </row>
    <row r="16" spans="2:12"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695.15999999999622</v>
      </c>
      <c r="E17" s="71"/>
      <c r="F17" s="72"/>
      <c r="G17" s="70">
        <f>G15-H15</f>
        <v>341.83999999999651</v>
      </c>
      <c r="H17" s="71"/>
      <c r="I17" s="72"/>
      <c r="J17" s="70">
        <f>J15-K15</f>
        <v>310.34999999999127</v>
      </c>
      <c r="K17" s="71"/>
      <c r="L17" s="72"/>
    </row>
    <row r="18" spans="2:12" ht="31.05" customHeight="1" x14ac:dyDescent="0.3">
      <c r="B18" s="6"/>
      <c r="C18" s="27" t="s">
        <v>36</v>
      </c>
      <c r="D18" s="55">
        <f>D4-E4</f>
        <v>-1351.1399999999994</v>
      </c>
      <c r="E18" s="56"/>
      <c r="F18" s="57"/>
      <c r="G18" s="55">
        <f>G4-H4</f>
        <v>-296.32000000000335</v>
      </c>
      <c r="H18" s="56"/>
      <c r="I18" s="57"/>
      <c r="J18" s="55">
        <f>J4-K4</f>
        <v>93.659999999996217</v>
      </c>
      <c r="K18" s="56"/>
      <c r="L18" s="57"/>
    </row>
    <row r="19" spans="2:12" ht="31.05" customHeight="1" x14ac:dyDescent="0.3">
      <c r="B19" s="6"/>
      <c r="C19" s="27" t="s">
        <v>37</v>
      </c>
      <c r="D19" s="55">
        <f>D10-E10</f>
        <v>2046.2999999999993</v>
      </c>
      <c r="E19" s="56"/>
      <c r="F19" s="57"/>
      <c r="G19" s="55">
        <f>G10-H10</f>
        <v>638.15999999999985</v>
      </c>
      <c r="H19" s="56"/>
      <c r="I19" s="57"/>
      <c r="J19" s="55">
        <f>J10-K10</f>
        <v>216.68999999999869</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0.20662596527104757</v>
      </c>
      <c r="E21" s="65"/>
      <c r="F21" s="66"/>
      <c r="G21" s="64">
        <f>G17/H9</f>
        <v>0.22399287080963262</v>
      </c>
      <c r="H21" s="65"/>
      <c r="I21" s="66"/>
      <c r="J21" s="64">
        <f>J17/K9</f>
        <v>0.15118669498625814</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8855A-496A-4E07-99D9-F640AC9E454F}">
  <dimension ref="A1:AJ97"/>
  <sheetViews>
    <sheetView zoomScale="60" zoomScaleNormal="60" workbookViewId="0">
      <selection activeCell="I15" sqref="I15"/>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10.44140625" style="3" bestFit="1" customWidth="1"/>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1" spans="2:16" ht="31.05" customHeight="1" x14ac:dyDescent="0.3">
      <c r="N1" s="3" t="s">
        <v>64</v>
      </c>
    </row>
    <row r="2" spans="2:16" ht="31.05" customHeight="1" x14ac:dyDescent="0.3">
      <c r="B2" s="76" t="s">
        <v>12</v>
      </c>
      <c r="C2" s="76"/>
      <c r="D2" s="73" t="s">
        <v>38</v>
      </c>
      <c r="E2" s="73"/>
      <c r="F2" s="73"/>
      <c r="G2" s="73" t="s">
        <v>39</v>
      </c>
      <c r="H2" s="73"/>
      <c r="I2" s="73"/>
      <c r="J2" s="73" t="s">
        <v>40</v>
      </c>
      <c r="K2" s="73"/>
      <c r="L2" s="73"/>
      <c r="N2" s="3">
        <v>-5</v>
      </c>
      <c r="O2" s="3">
        <v>0</v>
      </c>
      <c r="P2" s="3">
        <v>5</v>
      </c>
    </row>
    <row r="3" spans="2:16" ht="31.05" customHeight="1" thickBot="1" x14ac:dyDescent="0.35">
      <c r="B3" s="77"/>
      <c r="C3" s="77"/>
      <c r="D3" s="34" t="s">
        <v>0</v>
      </c>
      <c r="E3" s="34" t="s">
        <v>1</v>
      </c>
      <c r="F3" s="35" t="s">
        <v>17</v>
      </c>
      <c r="G3" s="34" t="s">
        <v>0</v>
      </c>
      <c r="H3" s="34" t="s">
        <v>1</v>
      </c>
      <c r="I3" s="36" t="s">
        <v>17</v>
      </c>
      <c r="J3" s="34" t="s">
        <v>0</v>
      </c>
      <c r="K3" s="34" t="s">
        <v>1</v>
      </c>
      <c r="L3" s="35" t="s">
        <v>17</v>
      </c>
      <c r="M3" s="3" t="s">
        <v>63</v>
      </c>
    </row>
    <row r="4" spans="2:16" ht="31.05" customHeight="1" thickTop="1" x14ac:dyDescent="0.3">
      <c r="B4" s="74" t="s">
        <v>41</v>
      </c>
      <c r="C4" s="32" t="s">
        <v>42</v>
      </c>
      <c r="D4" s="33">
        <f>SUM(D5,D7:D9)</f>
        <v>20518.39</v>
      </c>
      <c r="E4" s="33">
        <f>SUM(E5,E7:E9)</f>
        <v>21595.9</v>
      </c>
      <c r="F4" s="33"/>
      <c r="G4" s="33">
        <f t="shared" ref="G4:J4" si="0">SUM(G5,G7:G9)</f>
        <v>27713</v>
      </c>
      <c r="H4" s="33">
        <f t="shared" si="0"/>
        <v>27942.800000000003</v>
      </c>
      <c r="I4" s="33"/>
      <c r="J4" s="33">
        <f t="shared" si="0"/>
        <v>28133.369999999995</v>
      </c>
      <c r="K4" s="33">
        <f>SUM(K5,K7:K9)</f>
        <v>28137.75</v>
      </c>
      <c r="L4" s="33"/>
    </row>
    <row r="5" spans="2:16" ht="31.05" customHeight="1" x14ac:dyDescent="0.3">
      <c r="B5" s="74"/>
      <c r="C5" s="27" t="s">
        <v>13</v>
      </c>
      <c r="D5" s="7">
        <v>13376.71</v>
      </c>
      <c r="E5" s="7">
        <v>13366.95</v>
      </c>
      <c r="F5" s="8"/>
      <c r="G5" s="7">
        <v>13722.13</v>
      </c>
      <c r="H5" s="7">
        <v>13661.54</v>
      </c>
      <c r="I5" s="8"/>
      <c r="J5" s="7">
        <v>13971.88</v>
      </c>
      <c r="K5" s="7">
        <v>13903.08</v>
      </c>
      <c r="L5" s="8"/>
    </row>
    <row r="6" spans="2:16" ht="31.05" hidden="1" customHeight="1" x14ac:dyDescent="0.3">
      <c r="B6" s="74"/>
      <c r="C6" s="27" t="s">
        <v>18</v>
      </c>
      <c r="D6" s="7" t="e">
        <f>#REF!</f>
        <v>#REF!</v>
      </c>
      <c r="E6" s="7" t="e">
        <f>#REF!</f>
        <v>#REF!</v>
      </c>
      <c r="F6" s="8"/>
      <c r="G6" s="7" t="e">
        <f>#REF!</f>
        <v>#REF!</v>
      </c>
      <c r="H6" s="7" t="e">
        <f>#REF!</f>
        <v>#REF!</v>
      </c>
      <c r="I6" s="8"/>
      <c r="J6" s="7" t="e">
        <f>#REF!</f>
        <v>#REF!</v>
      </c>
      <c r="K6" s="7" t="e">
        <f>#REF!</f>
        <v>#REF!</v>
      </c>
      <c r="L6" s="8"/>
    </row>
    <row r="7" spans="2:16" ht="31.05" customHeight="1" x14ac:dyDescent="0.3">
      <c r="B7" s="74"/>
      <c r="C7" s="28" t="s">
        <v>19</v>
      </c>
      <c r="D7" s="7">
        <v>4846.8500000000004</v>
      </c>
      <c r="E7" s="7">
        <v>4792.0600000000004</v>
      </c>
      <c r="F7" s="8"/>
      <c r="G7" s="7">
        <v>10140.65</v>
      </c>
      <c r="H7" s="7">
        <v>10016.549999999999</v>
      </c>
      <c r="I7" s="8"/>
      <c r="J7" s="7">
        <v>10096.32</v>
      </c>
      <c r="K7" s="7">
        <v>9846.43</v>
      </c>
      <c r="L7" s="8"/>
    </row>
    <row r="8" spans="2:16" ht="31.05" customHeight="1" x14ac:dyDescent="0.3">
      <c r="B8" s="74"/>
      <c r="C8" s="28" t="s">
        <v>15</v>
      </c>
      <c r="D8" s="9"/>
      <c r="E8" s="9">
        <v>3176.95</v>
      </c>
      <c r="F8" s="31"/>
      <c r="G8" s="10"/>
      <c r="H8" s="11">
        <v>2340.9899999999998</v>
      </c>
      <c r="I8" s="31"/>
      <c r="J8" s="11"/>
      <c r="K8" s="11">
        <v>2148.3200000000002</v>
      </c>
      <c r="L8" s="31"/>
    </row>
    <row r="9" spans="2:16" ht="31.05" customHeight="1" thickBot="1" x14ac:dyDescent="0.35">
      <c r="B9" s="75"/>
      <c r="C9" s="29" t="s">
        <v>16</v>
      </c>
      <c r="D9" s="12">
        <v>2294.83</v>
      </c>
      <c r="E9" s="12">
        <v>259.94</v>
      </c>
      <c r="F9" s="13"/>
      <c r="G9" s="14">
        <v>3850.22</v>
      </c>
      <c r="H9" s="14">
        <v>1923.72</v>
      </c>
      <c r="I9" s="13"/>
      <c r="J9" s="14">
        <v>4065.17</v>
      </c>
      <c r="K9" s="14">
        <v>2239.92</v>
      </c>
      <c r="L9" s="13"/>
    </row>
    <row r="10" spans="2:16" ht="31.05" customHeight="1" thickTop="1" x14ac:dyDescent="0.3">
      <c r="B10" s="78" t="s">
        <v>43</v>
      </c>
      <c r="C10" s="27" t="s">
        <v>44</v>
      </c>
      <c r="D10" s="15">
        <f>SUM(D11:D13)</f>
        <v>22557.78</v>
      </c>
      <c r="E10" s="15">
        <f>SUM(E11:E13)</f>
        <v>20916.36</v>
      </c>
      <c r="F10" s="15"/>
      <c r="G10" s="15">
        <f t="shared" ref="G10:K10" si="1">SUM(G11:G13)</f>
        <v>18825.489999999998</v>
      </c>
      <c r="H10" s="15">
        <f t="shared" si="1"/>
        <v>18358.330000000002</v>
      </c>
      <c r="I10" s="15"/>
      <c r="J10" s="15">
        <f t="shared" si="1"/>
        <v>16991.740000000002</v>
      </c>
      <c r="K10" s="15">
        <f t="shared" si="1"/>
        <v>16758.32</v>
      </c>
      <c r="L10" s="15"/>
    </row>
    <row r="11" spans="2:16" ht="31.05" customHeight="1" x14ac:dyDescent="0.3">
      <c r="B11" s="74"/>
      <c r="C11" s="27" t="s">
        <v>20</v>
      </c>
      <c r="D11" s="7">
        <v>18719.599999999999</v>
      </c>
      <c r="E11" s="7">
        <v>17327.39</v>
      </c>
      <c r="F11" s="8"/>
      <c r="G11" s="7">
        <v>15089.38</v>
      </c>
      <c r="H11" s="7">
        <v>14726.53</v>
      </c>
      <c r="I11" s="8"/>
      <c r="J11" s="7">
        <v>13652.04</v>
      </c>
      <c r="K11" s="7">
        <v>13458.47</v>
      </c>
      <c r="L11" s="8"/>
    </row>
    <row r="12" spans="2:16" ht="31.05" customHeight="1" x14ac:dyDescent="0.3">
      <c r="B12" s="74"/>
      <c r="C12" s="27" t="s">
        <v>21</v>
      </c>
      <c r="D12" s="7">
        <v>1964.66</v>
      </c>
      <c r="E12" s="16">
        <v>1851.27</v>
      </c>
      <c r="F12" s="8"/>
      <c r="G12" s="7">
        <v>1508.85</v>
      </c>
      <c r="H12" s="16">
        <v>1448.72</v>
      </c>
      <c r="I12" s="8"/>
      <c r="J12" s="7">
        <v>1320.41</v>
      </c>
      <c r="K12" s="16">
        <v>1303.6199999999999</v>
      </c>
      <c r="L12" s="8"/>
    </row>
    <row r="13" spans="2:16" ht="31.05" customHeight="1" x14ac:dyDescent="0.3">
      <c r="B13" s="74"/>
      <c r="C13" s="38" t="s">
        <v>22</v>
      </c>
      <c r="D13" s="39">
        <v>1873.52</v>
      </c>
      <c r="E13" s="39">
        <v>1737.7</v>
      </c>
      <c r="F13" s="40"/>
      <c r="G13" s="39">
        <v>2227.2600000000002</v>
      </c>
      <c r="H13" s="39">
        <v>2183.08</v>
      </c>
      <c r="I13" s="40"/>
      <c r="J13" s="39">
        <v>2019.29</v>
      </c>
      <c r="K13" s="39">
        <v>1996.23</v>
      </c>
      <c r="L13" s="40"/>
    </row>
    <row r="14" spans="2:16" ht="31.05" customHeight="1" thickBot="1" x14ac:dyDescent="0.35">
      <c r="B14" s="75"/>
      <c r="C14" s="30" t="s">
        <v>48</v>
      </c>
      <c r="D14" s="17">
        <v>0</v>
      </c>
      <c r="E14" s="17">
        <v>0</v>
      </c>
      <c r="F14" s="17"/>
      <c r="G14" s="17">
        <v>0</v>
      </c>
      <c r="H14" s="17">
        <v>0</v>
      </c>
      <c r="I14" s="17"/>
      <c r="J14" s="17">
        <v>0</v>
      </c>
      <c r="K14" s="17">
        <v>0</v>
      </c>
      <c r="L14" s="17"/>
    </row>
    <row r="15" spans="2:16" s="21" customFormat="1" ht="31.05" customHeight="1" thickTop="1" x14ac:dyDescent="0.3">
      <c r="B15" s="41" t="s">
        <v>35</v>
      </c>
      <c r="C15" s="41"/>
      <c r="D15" s="42">
        <f>D4+D10</f>
        <v>43076.17</v>
      </c>
      <c r="E15" s="42">
        <f>E4+E10</f>
        <v>42512.26</v>
      </c>
      <c r="F15" s="43">
        <f t="shared" ref="F15" si="2">(E15-D15)/D15</f>
        <v>-1.3090996715817498E-2</v>
      </c>
      <c r="G15" s="42">
        <f>G4+G10</f>
        <v>46538.49</v>
      </c>
      <c r="H15" s="42">
        <f>H4+H10</f>
        <v>46301.130000000005</v>
      </c>
      <c r="I15" s="43">
        <f t="shared" ref="I15" si="3">(H15-G15)/G15</f>
        <v>-5.1002944014727014E-3</v>
      </c>
      <c r="J15" s="42">
        <f>J4+J10</f>
        <v>45125.11</v>
      </c>
      <c r="K15" s="42">
        <f>K4+K10</f>
        <v>44896.07</v>
      </c>
      <c r="L15" s="43">
        <f t="shared" ref="L15" si="4">(K15-J15)/J15</f>
        <v>-5.0756662975447791E-3</v>
      </c>
    </row>
    <row r="16" spans="2:16" ht="31.05" customHeight="1" x14ac:dyDescent="0.3">
      <c r="B16" s="67"/>
      <c r="C16" s="68"/>
      <c r="D16" s="68"/>
      <c r="E16" s="68"/>
      <c r="F16" s="68"/>
      <c r="G16" s="68"/>
      <c r="H16" s="68"/>
      <c r="I16" s="68"/>
      <c r="J16" s="68"/>
      <c r="K16" s="68"/>
      <c r="L16" s="69"/>
    </row>
    <row r="17" spans="2:12" ht="31.05" customHeight="1" x14ac:dyDescent="0.3">
      <c r="B17" s="2" t="s">
        <v>45</v>
      </c>
      <c r="C17" s="27" t="s">
        <v>35</v>
      </c>
      <c r="D17" s="70">
        <f>D15-E15</f>
        <v>563.90999999999622</v>
      </c>
      <c r="E17" s="71"/>
      <c r="F17" s="72"/>
      <c r="G17" s="70">
        <f>G15-H15</f>
        <v>237.35999999999331</v>
      </c>
      <c r="H17" s="71"/>
      <c r="I17" s="72"/>
      <c r="J17" s="70">
        <f>J15-K15</f>
        <v>229.04000000000087</v>
      </c>
      <c r="K17" s="71"/>
      <c r="L17" s="72"/>
    </row>
    <row r="18" spans="2:12" ht="31.05" customHeight="1" x14ac:dyDescent="0.3">
      <c r="B18" s="6"/>
      <c r="C18" s="27" t="s">
        <v>36</v>
      </c>
      <c r="D18" s="55">
        <f>D4-E4</f>
        <v>-1077.510000000002</v>
      </c>
      <c r="E18" s="56"/>
      <c r="F18" s="57"/>
      <c r="G18" s="55">
        <f>G4-H4</f>
        <v>-229.80000000000291</v>
      </c>
      <c r="H18" s="56"/>
      <c r="I18" s="57"/>
      <c r="J18" s="55">
        <f>J4-K4</f>
        <v>-4.3800000000046566</v>
      </c>
      <c r="K18" s="56"/>
      <c r="L18" s="57"/>
    </row>
    <row r="19" spans="2:12" ht="31.05" customHeight="1" x14ac:dyDescent="0.3">
      <c r="B19" s="6"/>
      <c r="C19" s="27" t="s">
        <v>37</v>
      </c>
      <c r="D19" s="55">
        <f>D10-E10</f>
        <v>1641.4199999999983</v>
      </c>
      <c r="E19" s="56"/>
      <c r="F19" s="57"/>
      <c r="G19" s="55">
        <f>G10-H10</f>
        <v>467.15999999999622</v>
      </c>
      <c r="H19" s="56"/>
      <c r="I19" s="57"/>
      <c r="J19" s="55">
        <f>J10-K10</f>
        <v>233.42000000000189</v>
      </c>
      <c r="K19" s="56"/>
      <c r="L19" s="57"/>
    </row>
    <row r="20" spans="2:12" ht="31.05" customHeight="1" x14ac:dyDescent="0.3">
      <c r="B20" s="61"/>
      <c r="C20" s="62"/>
      <c r="D20" s="62"/>
      <c r="E20" s="62"/>
      <c r="F20" s="62"/>
      <c r="G20" s="62"/>
      <c r="H20" s="62"/>
      <c r="I20" s="62"/>
      <c r="J20" s="62"/>
      <c r="K20" s="62"/>
      <c r="L20" s="63"/>
    </row>
    <row r="21" spans="2:12" ht="31.05" customHeight="1" x14ac:dyDescent="0.3">
      <c r="B21" s="59" t="s">
        <v>46</v>
      </c>
      <c r="C21" s="60"/>
      <c r="D21" s="64">
        <f>D17/E8</f>
        <v>0.17750043280504768</v>
      </c>
      <c r="E21" s="65"/>
      <c r="F21" s="66"/>
      <c r="G21" s="64">
        <f>G17/H9</f>
        <v>0.12338593974174687</v>
      </c>
      <c r="H21" s="65"/>
      <c r="I21" s="66"/>
      <c r="J21" s="64">
        <f>J17/K9</f>
        <v>0.10225365191614025</v>
      </c>
      <c r="K21" s="65"/>
      <c r="L21" s="66"/>
    </row>
    <row r="25" spans="2:12" ht="31.05" customHeight="1" x14ac:dyDescent="0.3">
      <c r="E25" s="22"/>
    </row>
    <row r="61" spans="2:7" ht="31.05" customHeight="1" x14ac:dyDescent="0.3">
      <c r="B61" s="58"/>
      <c r="C61" s="58"/>
      <c r="D61" s="58"/>
      <c r="E61" s="3" t="s">
        <v>23</v>
      </c>
      <c r="F61" s="4">
        <v>0</v>
      </c>
      <c r="G61" s="3">
        <v>0</v>
      </c>
    </row>
    <row r="62" spans="2:7" ht="31.05" customHeight="1" x14ac:dyDescent="0.3">
      <c r="B62" s="58"/>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G21:I21"/>
    <mergeCell ref="J21:L21"/>
    <mergeCell ref="B2:C3"/>
    <mergeCell ref="D2:F2"/>
    <mergeCell ref="G2:I2"/>
    <mergeCell ref="J2:L2"/>
    <mergeCell ref="B4:B9"/>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Gráficos</vt:lpstr>
      <vt:lpstr>CasoBase</vt:lpstr>
      <vt:lpstr>Ausencia_Diesel&amp;GNL</vt:lpstr>
      <vt:lpstr>Ausencia_Diesel&amp;GNL2</vt:lpstr>
      <vt:lpstr>BESS_Construccion_Masiva</vt:lpstr>
      <vt:lpstr>BESS_Construccion_Masiva2</vt:lpstr>
      <vt:lpstr>Biomasa_reconversion</vt:lpstr>
      <vt:lpstr>Costos_BESS_A5</vt:lpstr>
      <vt:lpstr>Costos_BESS_D5</vt:lpstr>
      <vt:lpstr>Costos_GNL_A5</vt:lpstr>
      <vt:lpstr>Costos_GNL_D5</vt:lpstr>
      <vt:lpstr>Entrada_Ampliacion_Transmision</vt:lpstr>
      <vt:lpstr>PSP_2029</vt:lpstr>
      <vt:lpstr>PSP_2033</vt:lpstr>
      <vt:lpstr>Sin_PSP_10H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Pérez Ortiz</dc:creator>
  <cp:lastModifiedBy>Ignacio Andrés Pérez Ortiz</cp:lastModifiedBy>
  <dcterms:created xsi:type="dcterms:W3CDTF">2015-06-05T18:19:34Z</dcterms:created>
  <dcterms:modified xsi:type="dcterms:W3CDTF">2025-03-28T18:38:40Z</dcterms:modified>
</cp:coreProperties>
</file>