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ropbox\PhD SBU\06_Teaching\01a_POL201\03-Quizzes\Quiz 2\"/>
    </mc:Choice>
  </mc:AlternateContent>
  <xr:revisionPtr revIDLastSave="0" documentId="13_ncr:1_{B1D9EC01-FA16-438E-874E-3E71A227EB79}" xr6:coauthVersionLast="47" xr6:coauthVersionMax="47" xr10:uidLastSave="{00000000-0000-0000-0000-000000000000}"/>
  <bookViews>
    <workbookView xWindow="-120" yWindow="-120" windowWidth="29040" windowHeight="15840" activeTab="1" xr2:uid="{6EEF8464-F96E-4229-8801-0692CA2C5539}"/>
  </bookViews>
  <sheets>
    <sheet name="data_gen" sheetId="1" r:id="rId1"/>
    <sheet name="Summary Stats" sheetId="2" r:id="rId2"/>
    <sheet name="Graphs" sheetId="3" r:id="rId3"/>
  </sheets>
  <definedNames>
    <definedName name="_xlnm._FilterDatabase" localSheetId="2" hidden="1">Graphs!$I$18:$J$33</definedName>
    <definedName name="_xlnm._FilterDatabase" localSheetId="1" hidden="1">'Summary Stats'!$N$2:$O$17</definedName>
  </definedNames>
  <calcPr calcId="191029"/>
  <pivotCaches>
    <pivotCache cacheId="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5" i="3" l="1" a="1"/>
  <c r="N15" i="3"/>
  <c r="N12" i="3" a="1"/>
  <c r="N12" i="3" s="1"/>
  <c r="N13" i="3" a="1"/>
  <c r="N13" i="3"/>
  <c r="N14" i="3" a="1"/>
  <c r="N14" i="3" s="1"/>
  <c r="N11" i="3" a="1"/>
  <c r="N11" i="3" s="1"/>
  <c r="K15" i="3"/>
  <c r="M15" i="3" s="1"/>
  <c r="K14" i="3"/>
  <c r="M14" i="3" s="1"/>
  <c r="K13" i="3"/>
  <c r="K12" i="3"/>
  <c r="M12" i="3" s="1"/>
  <c r="J13" i="3"/>
  <c r="J14" i="3" s="1"/>
  <c r="J15" i="3" s="1"/>
  <c r="J12" i="3"/>
  <c r="K11" i="3"/>
  <c r="L11" i="3" s="1"/>
  <c r="L12" i="3"/>
  <c r="J11" i="3"/>
  <c r="J7" i="3"/>
  <c r="F10" i="3"/>
  <c r="F8" i="3"/>
  <c r="F7" i="3"/>
  <c r="F5" i="3"/>
  <c r="F4" i="3"/>
  <c r="F3" i="3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3" i="2"/>
  <c r="V6" i="2"/>
  <c r="V5" i="2"/>
  <c r="P4" i="2"/>
  <c r="P5" i="2" s="1"/>
  <c r="P6" i="2" s="1"/>
  <c r="P7" i="2" s="1"/>
  <c r="P8" i="2" s="1"/>
  <c r="P9" i="2" s="1"/>
  <c r="P10" i="2" s="1"/>
  <c r="P11" i="2" s="1"/>
  <c r="P12" i="2" s="1"/>
  <c r="P13" i="2" s="1"/>
  <c r="P14" i="2" s="1"/>
  <c r="P15" i="2" s="1"/>
  <c r="P16" i="2" s="1"/>
  <c r="P17" i="2" s="1"/>
  <c r="P24" i="2"/>
  <c r="P25" i="2"/>
  <c r="P26" i="2"/>
  <c r="P27" i="2"/>
  <c r="P28" i="2"/>
  <c r="P29" i="2"/>
  <c r="P30" i="2"/>
  <c r="P31" i="2"/>
  <c r="P23" i="2"/>
  <c r="Q23" i="2" s="1"/>
  <c r="F8" i="2"/>
  <c r="V8" i="2" s="1"/>
  <c r="F7" i="2"/>
  <c r="H9" i="1"/>
  <c r="H14" i="1"/>
  <c r="H11" i="1"/>
  <c r="H3" i="1"/>
  <c r="H4" i="1"/>
  <c r="H5" i="1"/>
  <c r="H6" i="1"/>
  <c r="H7" i="1"/>
  <c r="H8" i="1"/>
  <c r="H10" i="1"/>
  <c r="H12" i="1"/>
  <c r="H13" i="1"/>
  <c r="H15" i="1"/>
  <c r="H16" i="1"/>
  <c r="H2" i="1"/>
  <c r="F4" i="2"/>
  <c r="F3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2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E14" i="1" s="1"/>
  <c r="F14" i="1" s="1"/>
  <c r="B15" i="1"/>
  <c r="B16" i="1"/>
  <c r="B2" i="1"/>
  <c r="M13" i="3" l="1"/>
  <c r="N17" i="3"/>
  <c r="M11" i="3"/>
  <c r="E10" i="1"/>
  <c r="F10" i="1" s="1"/>
  <c r="F10" i="2"/>
  <c r="I4" i="2" s="1"/>
  <c r="R8" i="2"/>
  <c r="F5" i="2"/>
  <c r="Q24" i="2"/>
  <c r="Q25" i="2" s="1"/>
  <c r="Q26" i="2" s="1"/>
  <c r="Q27" i="2" s="1"/>
  <c r="Q28" i="2" s="1"/>
  <c r="Q29" i="2" s="1"/>
  <c r="Q30" i="2" s="1"/>
  <c r="Q31" i="2" s="1"/>
  <c r="V4" i="2"/>
  <c r="R13" i="2" s="1"/>
  <c r="V7" i="2"/>
  <c r="L4" i="2"/>
  <c r="E16" i="1"/>
  <c r="F16" i="1" s="1"/>
  <c r="I3" i="2"/>
  <c r="I10" i="2"/>
  <c r="I13" i="2"/>
  <c r="I9" i="2"/>
  <c r="I5" i="2"/>
  <c r="I15" i="2"/>
  <c r="I11" i="2"/>
  <c r="I7" i="2"/>
  <c r="I14" i="2"/>
  <c r="I6" i="2"/>
  <c r="I16" i="2"/>
  <c r="I12" i="2"/>
  <c r="I8" i="2"/>
  <c r="E6" i="1"/>
  <c r="F6" i="1" s="1"/>
  <c r="E12" i="1"/>
  <c r="F12" i="1" s="1"/>
  <c r="E4" i="1"/>
  <c r="F4" i="1" s="1"/>
  <c r="E8" i="1"/>
  <c r="F8" i="1" s="1"/>
  <c r="E13" i="1"/>
  <c r="F13" i="1" s="1"/>
  <c r="E9" i="1"/>
  <c r="F9" i="1" s="1"/>
  <c r="E5" i="1"/>
  <c r="F5" i="1" s="1"/>
  <c r="E15" i="1"/>
  <c r="F15" i="1" s="1"/>
  <c r="E11" i="1"/>
  <c r="F11" i="1" s="1"/>
  <c r="E7" i="1"/>
  <c r="F7" i="1" s="1"/>
  <c r="E3" i="1"/>
  <c r="F3" i="1" s="1"/>
  <c r="E2" i="1"/>
  <c r="F2" i="1" s="1"/>
  <c r="L13" i="3" l="1"/>
  <c r="R9" i="2"/>
  <c r="I17" i="2"/>
  <c r="R16" i="2"/>
  <c r="R6" i="2"/>
  <c r="R14" i="2"/>
  <c r="R3" i="2"/>
  <c r="R11" i="2"/>
  <c r="R15" i="2"/>
  <c r="R10" i="2"/>
  <c r="R7" i="2"/>
  <c r="R5" i="2"/>
  <c r="R12" i="2"/>
  <c r="R4" i="2"/>
  <c r="R17" i="2"/>
  <c r="L3" i="2"/>
  <c r="L6" i="2" s="1"/>
  <c r="L9" i="2" s="1"/>
  <c r="L14" i="3" l="1"/>
  <c r="L15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<sst xmlns="http://schemas.openxmlformats.org/spreadsheetml/2006/main" count="84" uniqueCount="66">
  <si>
    <t>Observation ID</t>
  </si>
  <si>
    <t>Z</t>
  </si>
  <si>
    <t>Z*</t>
  </si>
  <si>
    <t>W*</t>
  </si>
  <si>
    <t>Eta(1)*</t>
  </si>
  <si>
    <t>Eta(2)*</t>
  </si>
  <si>
    <t>Z_final</t>
  </si>
  <si>
    <t>Min</t>
  </si>
  <si>
    <t>Max</t>
  </si>
  <si>
    <t>Range</t>
  </si>
  <si>
    <t>Z_pre</t>
  </si>
  <si>
    <t>N</t>
  </si>
  <si>
    <t>* Sample Mean</t>
  </si>
  <si>
    <t>Sum{ Z }</t>
  </si>
  <si>
    <t>Z_bar</t>
  </si>
  <si>
    <t>(Z - Z_bar)^2</t>
  </si>
  <si>
    <t>Sum{ (Z - Z_bar)^2 }</t>
  </si>
  <si>
    <t>N - 1</t>
  </si>
  <si>
    <t>S^2</t>
  </si>
  <si>
    <t>* Sample Variance</t>
  </si>
  <si>
    <t>S</t>
  </si>
  <si>
    <t>* Sample SD</t>
  </si>
  <si>
    <t>Row Labels</t>
  </si>
  <si>
    <t>Grand Total</t>
  </si>
  <si>
    <t>Count of Z</t>
  </si>
  <si>
    <t>Frequency Table</t>
  </si>
  <si>
    <t>Relative Frew.</t>
  </si>
  <si>
    <t>Rank Order</t>
  </si>
  <si>
    <t>MEDIAN</t>
  </si>
  <si>
    <t>* N is odd</t>
  </si>
  <si>
    <t>Rank Position of the Median</t>
  </si>
  <si>
    <t>*Median</t>
  </si>
  <si>
    <t>Check with formula:</t>
  </si>
  <si>
    <t>Value of Z (MEDIAN)</t>
  </si>
  <si>
    <t>% Obs. Below "Median position"</t>
  </si>
  <si>
    <t>% Obs. Above "Median position"</t>
  </si>
  <si>
    <t>Values of Z</t>
  </si>
  <si>
    <t>Count</t>
  </si>
  <si>
    <t>*Note: this is the rank position of the median when N is odd</t>
  </si>
  <si>
    <r>
      <t>Z</t>
    </r>
    <r>
      <rPr>
        <vertAlign val="subscript"/>
        <sz val="11"/>
        <color theme="1"/>
        <rFont val="Aptos Narrow"/>
        <family val="2"/>
        <scheme val="minor"/>
      </rPr>
      <t xml:space="preserve"> {(N+1)/2 }</t>
    </r>
  </si>
  <si>
    <t>*Note: formula give the same answer</t>
  </si>
  <si>
    <t>Obs. ID</t>
  </si>
  <si>
    <t>*Note: Obs. ID is just a convenience label not a variable</t>
  </si>
  <si>
    <t>*Note: "Z" is the numeric variable under analysis</t>
  </si>
  <si>
    <t>Is Rank Order = Median Position?</t>
  </si>
  <si>
    <t>*Note: Here we compute the squared deviations from the mean</t>
  </si>
  <si>
    <t>Some formulas</t>
  </si>
  <si>
    <t>*Note: Here we use N or n as the sample size</t>
  </si>
  <si>
    <t>Cumul. Rel. Freq.</t>
  </si>
  <si>
    <t>Cumulative Freq.</t>
  </si>
  <si>
    <t>*Note: This is the same dataset from the Sheet "Summary Stats"</t>
  </si>
  <si>
    <t>Define 5 bins over the range of Z of equal size.</t>
  </si>
  <si>
    <t>What is the width of each bin?</t>
  </si>
  <si>
    <t xml:space="preserve">Bin Width </t>
  </si>
  <si>
    <t>Bins</t>
  </si>
  <si>
    <t>Lower Limit</t>
  </si>
  <si>
    <t>Upper Limit</t>
  </si>
  <si>
    <t>Bin 1</t>
  </si>
  <si>
    <t>Bin 2</t>
  </si>
  <si>
    <t>Bin 3</t>
  </si>
  <si>
    <t>Bin 4</t>
  </si>
  <si>
    <t>Bin 5</t>
  </si>
  <si>
    <t>Width</t>
  </si>
  <si>
    <t xml:space="preserve">Small delta to make bins mutually exclusive </t>
  </si>
  <si>
    <t>Bin Label</t>
  </si>
  <si>
    <t>* In this table, Z is now sorted from smallest to largest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</si>
</sst>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2" fillId="2" borderId="2" xfId="0" applyFont="1" applyFill="1" applyBorder="1"/>
    <xf numFmtId="0" fontId="0" fillId="2" borderId="2" xfId="0" applyFill="1" applyBorder="1"/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0" fillId="2" borderId="1" xfId="0" applyFill="1" applyBorder="1"/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2" borderId="0" xfId="0" applyFont="1" applyFill="1" applyBorder="1"/>
    <xf numFmtId="0" fontId="0" fillId="2" borderId="0" xfId="0" applyFill="1" applyBorder="1"/>
    <xf numFmtId="0" fontId="4" fillId="2" borderId="0" xfId="0" applyFont="1" applyFill="1" applyBorder="1"/>
    <xf numFmtId="0" fontId="4" fillId="2" borderId="1" xfId="0" applyFont="1" applyFill="1" applyBorder="1"/>
    <xf numFmtId="0" fontId="0" fillId="0" borderId="3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9" fontId="0" fillId="0" borderId="0" xfId="1" applyFont="1"/>
    <xf numFmtId="0" fontId="2" fillId="3" borderId="4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/>
    </xf>
    <xf numFmtId="0" fontId="2" fillId="2" borderId="1" xfId="0" applyFont="1" applyFill="1" applyBorder="1"/>
    <xf numFmtId="0" fontId="2" fillId="2" borderId="0" xfId="0" applyFont="1" applyFill="1" applyBorder="1" applyAlignment="1">
      <alignment horizontal="center"/>
    </xf>
    <xf numFmtId="0" fontId="3" fillId="2" borderId="2" xfId="0" applyFont="1" applyFill="1" applyBorder="1"/>
    <xf numFmtId="0" fontId="2" fillId="2" borderId="1" xfId="0" applyFont="1" applyFill="1" applyBorder="1" applyAlignment="1">
      <alignment horizontal="center"/>
    </xf>
    <xf numFmtId="2" fontId="0" fillId="2" borderId="1" xfId="0" applyNumberFormat="1" applyFill="1" applyBorder="1"/>
    <xf numFmtId="9" fontId="0" fillId="2" borderId="0" xfId="1" applyFont="1" applyFill="1" applyBorder="1"/>
    <xf numFmtId="9" fontId="0" fillId="2" borderId="1" xfId="1" applyFont="1" applyFill="1" applyBorder="1"/>
    <xf numFmtId="0" fontId="2" fillId="2" borderId="3" xfId="0" applyFont="1" applyFill="1" applyBorder="1"/>
    <xf numFmtId="2" fontId="0" fillId="2" borderId="0" xfId="0" applyNumberFormat="1" applyFill="1" applyBorder="1"/>
    <xf numFmtId="0" fontId="3" fillId="0" borderId="0" xfId="0" applyFont="1" applyAlignment="1">
      <alignment horizontal="center" vertical="center" wrapText="1"/>
    </xf>
    <xf numFmtId="0" fontId="0" fillId="0" borderId="0" xfId="0" applyFont="1" applyBorder="1"/>
    <xf numFmtId="0" fontId="0" fillId="0" borderId="3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0" fontId="2" fillId="3" borderId="4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/>
    <xf numFmtId="0" fontId="0" fillId="2" borderId="7" xfId="0" applyFill="1" applyBorder="1" applyAlignment="1">
      <alignment horizontal="center" vertical="center"/>
    </xf>
    <xf numFmtId="0" fontId="0" fillId="2" borderId="8" xfId="0" applyFill="1" applyBorder="1"/>
    <xf numFmtId="0" fontId="0" fillId="2" borderId="9" xfId="0" applyFill="1" applyBorder="1" applyAlignment="1">
      <alignment horizontal="center" vertical="center"/>
    </xf>
    <xf numFmtId="0" fontId="0" fillId="2" borderId="10" xfId="0" applyFill="1" applyBorder="1"/>
    <xf numFmtId="9" fontId="0" fillId="0" borderId="1" xfId="1" applyFont="1" applyBorder="1"/>
    <xf numFmtId="0" fontId="3" fillId="0" borderId="0" xfId="0" applyFont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  <a:r>
              <a:rPr lang="en-US" baseline="0"/>
              <a:t> of Variable "Z"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Graphs!$N$10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Graphs!$M$11:$M$15</c:f>
              <c:strCache>
                <c:ptCount val="5"/>
                <c:pt idx="0">
                  <c:v>[1 , 3)</c:v>
                </c:pt>
                <c:pt idx="1">
                  <c:v>[3 , 5)</c:v>
                </c:pt>
                <c:pt idx="2">
                  <c:v>[5 , 7)</c:v>
                </c:pt>
                <c:pt idx="3">
                  <c:v>[7 , 9)</c:v>
                </c:pt>
                <c:pt idx="4">
                  <c:v>[9 , 11]</c:v>
                </c:pt>
              </c:strCache>
            </c:strRef>
          </c:cat>
          <c:val>
            <c:numRef>
              <c:f>Graphs!$N$11:$N$15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4</c:v>
                </c:pt>
                <c:pt idx="3">
                  <c:v>1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AA-4FED-90B0-554B3CE891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4713888"/>
        <c:axId val="1154717728"/>
      </c:barChart>
      <c:catAx>
        <c:axId val="1154713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717728"/>
        <c:crosses val="autoZero"/>
        <c:auto val="1"/>
        <c:lblAlgn val="ctr"/>
        <c:lblOffset val="100"/>
        <c:noMultiLvlLbl val="0"/>
      </c:catAx>
      <c:valAx>
        <c:axId val="115471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713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114300</xdr:rowOff>
    </xdr:to>
    <xdr:sp macro="" textlink="">
      <xdr:nvSpPr>
        <xdr:cNvPr id="2049" name="AutoShape 1" descr="{\displaystyle {\bar {X}}={\frac {1}{N}}\sum _{i=1}^{N}X_{i}.}">
          <a:extLst>
            <a:ext uri="{FF2B5EF4-FFF2-40B4-BE49-F238E27FC236}">
              <a16:creationId xmlns:a16="http://schemas.microsoft.com/office/drawing/2014/main" id="{A83BAA03-2947-0A23-A93E-F3A1AD033344}"/>
            </a:ext>
          </a:extLst>
        </xdr:cNvPr>
        <xdr:cNvSpPr>
          <a:spLocks noChangeAspect="1" noChangeArrowheads="1"/>
        </xdr:cNvSpPr>
      </xdr:nvSpPr>
      <xdr:spPr bwMode="auto">
        <a:xfrm>
          <a:off x="1724025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180975</xdr:colOff>
      <xdr:row>27</xdr:row>
      <xdr:rowOff>114300</xdr:rowOff>
    </xdr:from>
    <xdr:to>
      <xdr:col>5</xdr:col>
      <xdr:colOff>114300</xdr:colOff>
      <xdr:row>31</xdr:row>
      <xdr:rowOff>16141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93217A-1888-BE37-5C32-F98FBE289E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" y="5295900"/>
          <a:ext cx="2095500" cy="663841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</xdr:colOff>
      <xdr:row>27</xdr:row>
      <xdr:rowOff>19051</xdr:rowOff>
    </xdr:from>
    <xdr:to>
      <xdr:col>8</xdr:col>
      <xdr:colOff>638252</xdr:colOff>
      <xdr:row>31</xdr:row>
      <xdr:rowOff>95251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1A9247C-9D0E-7332-88D5-9AFD9A0F3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05175" y="5200651"/>
          <a:ext cx="1809827" cy="838200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123826</xdr:colOff>
      <xdr:row>31</xdr:row>
      <xdr:rowOff>114300</xdr:rowOff>
    </xdr:from>
    <xdr:to>
      <xdr:col>6</xdr:col>
      <xdr:colOff>396215</xdr:colOff>
      <xdr:row>36</xdr:row>
      <xdr:rowOff>28575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A50A403-AB59-1679-89A3-5AD857DCA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3426" y="6057900"/>
          <a:ext cx="2901289" cy="8667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447675</xdr:colOff>
      <xdr:row>16</xdr:row>
      <xdr:rowOff>100012</xdr:rowOff>
    </xdr:from>
    <xdr:to>
      <xdr:col>12</xdr:col>
      <xdr:colOff>800100</xdr:colOff>
      <xdr:row>33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44F53B-50AE-F815-9DBB-4F6B8DD101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nacio Urbina Henríquez" refreshedDate="45701.419925115741" createdVersion="8" refreshedVersion="8" minRefreshableVersion="3" recordCount="15" xr:uid="{00E4F977-05F1-4B23-8E9A-E34A9BF2793C}">
  <cacheSource type="worksheet">
    <worksheetSource ref="O2:O17" sheet="Summary Stats"/>
  </cacheSource>
  <cacheFields count="1">
    <cacheField name="Z" numFmtId="0">
      <sharedItems containsSemiMixedTypes="0" containsString="0" containsNumber="1" containsInteger="1" minValue="1" maxValue="11" count="9">
        <n v="1"/>
        <n v="2"/>
        <n v="3"/>
        <n v="4"/>
        <n v="5"/>
        <n v="6"/>
        <n v="8"/>
        <n v="9"/>
        <n v="1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</r>
  <r>
    <x v="1"/>
  </r>
  <r>
    <x v="1"/>
  </r>
  <r>
    <x v="2"/>
  </r>
  <r>
    <x v="2"/>
  </r>
  <r>
    <x v="2"/>
  </r>
  <r>
    <x v="3"/>
  </r>
  <r>
    <x v="3"/>
  </r>
  <r>
    <x v="4"/>
  </r>
  <r>
    <x v="5"/>
  </r>
  <r>
    <x v="5"/>
  </r>
  <r>
    <x v="5"/>
  </r>
  <r>
    <x v="6"/>
  </r>
  <r>
    <x v="7"/>
  </r>
  <r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9E7D9D-BA2A-4551-B876-2054D4722289}" name="PivotTable3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35:O45" firstHeaderRow="1" firstDataRow="1" firstDataCol="1"/>
  <pivotFields count="1">
    <pivotField axis="axisRow" dataFiel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Z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1B71D-0E3F-459A-BA59-E45757A1297E}">
  <dimension ref="A1:H16"/>
  <sheetViews>
    <sheetView workbookViewId="0">
      <selection activeCell="C26" sqref="C26"/>
    </sheetView>
  </sheetViews>
  <sheetFormatPr defaultRowHeight="15" x14ac:dyDescent="0.25"/>
  <cols>
    <col min="1" max="1" width="16.5703125" style="1" customWidth="1"/>
    <col min="2" max="3" width="20.42578125" style="1" customWidth="1"/>
  </cols>
  <sheetData>
    <row r="1" spans="1:8" x14ac:dyDescent="0.25">
      <c r="A1" s="1" t="s">
        <v>0</v>
      </c>
      <c r="B1" s="1" t="s">
        <v>4</v>
      </c>
      <c r="C1" s="1" t="s">
        <v>5</v>
      </c>
      <c r="D1" t="s">
        <v>3</v>
      </c>
      <c r="E1" s="1" t="s">
        <v>2</v>
      </c>
      <c r="F1" t="s">
        <v>1</v>
      </c>
      <c r="G1" s="1" t="s">
        <v>10</v>
      </c>
      <c r="H1" t="s">
        <v>6</v>
      </c>
    </row>
    <row r="2" spans="1:8" x14ac:dyDescent="0.25">
      <c r="A2" s="1">
        <v>1</v>
      </c>
      <c r="B2" s="1">
        <f ca="1">+ROUND(RAND()*5,0)</f>
        <v>2</v>
      </c>
      <c r="C2" s="1">
        <f ca="1">+ROUND(RAND()*5,0)</f>
        <v>1</v>
      </c>
      <c r="D2">
        <f>+A2/MAX($A$2:$A$16)</f>
        <v>6.6666666666666666E-2</v>
      </c>
      <c r="E2">
        <f ca="1">B2+(-0.5+D2)*C2</f>
        <v>1.5666666666666667</v>
      </c>
      <c r="F2">
        <f ca="1">ROUND(ROUND(E2*10+10,0)/10+0.5,0)</f>
        <v>3</v>
      </c>
      <c r="G2">
        <v>2</v>
      </c>
      <c r="H2">
        <f>G2</f>
        <v>2</v>
      </c>
    </row>
    <row r="3" spans="1:8" x14ac:dyDescent="0.25">
      <c r="A3" s="1">
        <v>2</v>
      </c>
      <c r="B3" s="1">
        <f t="shared" ref="B3:C16" ca="1" si="0">+ROUND(RAND()*5,0)</f>
        <v>3</v>
      </c>
      <c r="C3" s="1">
        <f t="shared" ca="1" si="0"/>
        <v>1</v>
      </c>
      <c r="D3">
        <f t="shared" ref="D3:D16" si="1">+A3/MAX($A$2:$A$16)</f>
        <v>0.13333333333333333</v>
      </c>
      <c r="E3">
        <f t="shared" ref="E3:E16" ca="1" si="2">B3+(-0.5+D3)*C3</f>
        <v>2.6333333333333333</v>
      </c>
      <c r="F3">
        <f t="shared" ref="F3:F16" ca="1" si="3">ROUND(ROUND(E3*10+10,0)/10+0.5,0)</f>
        <v>4</v>
      </c>
      <c r="G3">
        <v>3</v>
      </c>
      <c r="H3">
        <f t="shared" ref="H3:H16" si="4">G3</f>
        <v>3</v>
      </c>
    </row>
    <row r="4" spans="1:8" x14ac:dyDescent="0.25">
      <c r="A4" s="1">
        <v>3</v>
      </c>
      <c r="B4" s="1">
        <f t="shared" ca="1" si="0"/>
        <v>4</v>
      </c>
      <c r="C4" s="1">
        <f t="shared" ca="1" si="0"/>
        <v>0</v>
      </c>
      <c r="D4">
        <f t="shared" si="1"/>
        <v>0.2</v>
      </c>
      <c r="E4">
        <f t="shared" ca="1" si="2"/>
        <v>4</v>
      </c>
      <c r="F4">
        <f t="shared" ca="1" si="3"/>
        <v>6</v>
      </c>
      <c r="G4">
        <v>1</v>
      </c>
      <c r="H4">
        <f t="shared" si="4"/>
        <v>1</v>
      </c>
    </row>
    <row r="5" spans="1:8" x14ac:dyDescent="0.25">
      <c r="A5" s="1">
        <v>4</v>
      </c>
      <c r="B5" s="1">
        <f t="shared" ca="1" si="0"/>
        <v>5</v>
      </c>
      <c r="C5" s="1">
        <f t="shared" ca="1" si="0"/>
        <v>0</v>
      </c>
      <c r="D5">
        <f t="shared" si="1"/>
        <v>0.26666666666666666</v>
      </c>
      <c r="E5">
        <f t="shared" ca="1" si="2"/>
        <v>5</v>
      </c>
      <c r="F5">
        <f t="shared" ca="1" si="3"/>
        <v>7</v>
      </c>
      <c r="G5">
        <v>5</v>
      </c>
      <c r="H5">
        <f t="shared" si="4"/>
        <v>5</v>
      </c>
    </row>
    <row r="6" spans="1:8" x14ac:dyDescent="0.25">
      <c r="A6" s="1">
        <v>5</v>
      </c>
      <c r="B6" s="1">
        <f t="shared" ca="1" si="0"/>
        <v>1</v>
      </c>
      <c r="C6" s="1">
        <f t="shared" ca="1" si="0"/>
        <v>1</v>
      </c>
      <c r="D6">
        <f t="shared" si="1"/>
        <v>0.33333333333333331</v>
      </c>
      <c r="E6">
        <f t="shared" ca="1" si="2"/>
        <v>0.83333333333333326</v>
      </c>
      <c r="F6">
        <f t="shared" ca="1" si="3"/>
        <v>2</v>
      </c>
      <c r="G6">
        <v>4</v>
      </c>
      <c r="H6">
        <f t="shared" si="4"/>
        <v>4</v>
      </c>
    </row>
    <row r="7" spans="1:8" x14ac:dyDescent="0.25">
      <c r="A7" s="1">
        <v>6</v>
      </c>
      <c r="B7" s="1">
        <f t="shared" ca="1" si="0"/>
        <v>1</v>
      </c>
      <c r="C7" s="1">
        <f t="shared" ca="1" si="0"/>
        <v>2</v>
      </c>
      <c r="D7">
        <f t="shared" si="1"/>
        <v>0.4</v>
      </c>
      <c r="E7">
        <f t="shared" ca="1" si="2"/>
        <v>0.8</v>
      </c>
      <c r="F7">
        <f t="shared" ca="1" si="3"/>
        <v>2</v>
      </c>
      <c r="G7">
        <v>2</v>
      </c>
      <c r="H7">
        <f t="shared" si="4"/>
        <v>2</v>
      </c>
    </row>
    <row r="8" spans="1:8" x14ac:dyDescent="0.25">
      <c r="A8" s="1">
        <v>7</v>
      </c>
      <c r="B8" s="1">
        <f t="shared" ca="1" si="0"/>
        <v>1</v>
      </c>
      <c r="C8" s="1">
        <f t="shared" ca="1" si="0"/>
        <v>4</v>
      </c>
      <c r="D8">
        <f t="shared" si="1"/>
        <v>0.46666666666666667</v>
      </c>
      <c r="E8">
        <f t="shared" ca="1" si="2"/>
        <v>0.8666666666666667</v>
      </c>
      <c r="F8">
        <f t="shared" ca="1" si="3"/>
        <v>2</v>
      </c>
      <c r="G8">
        <v>6</v>
      </c>
      <c r="H8">
        <f t="shared" si="4"/>
        <v>6</v>
      </c>
    </row>
    <row r="9" spans="1:8" x14ac:dyDescent="0.25">
      <c r="A9" s="1">
        <v>8</v>
      </c>
      <c r="B9" s="1">
        <f t="shared" ca="1" si="0"/>
        <v>4</v>
      </c>
      <c r="C9" s="1">
        <f t="shared" ca="1" si="0"/>
        <v>4</v>
      </c>
      <c r="D9">
        <f t="shared" si="1"/>
        <v>0.53333333333333333</v>
      </c>
      <c r="E9">
        <f t="shared" ca="1" si="2"/>
        <v>4.1333333333333329</v>
      </c>
      <c r="F9">
        <f t="shared" ca="1" si="3"/>
        <v>6</v>
      </c>
      <c r="G9">
        <v>4</v>
      </c>
      <c r="H9">
        <f>G9+7</f>
        <v>11</v>
      </c>
    </row>
    <row r="10" spans="1:8" x14ac:dyDescent="0.25">
      <c r="A10" s="1">
        <v>9</v>
      </c>
      <c r="B10" s="1">
        <f t="shared" ca="1" si="0"/>
        <v>1</v>
      </c>
      <c r="C10" s="1">
        <f t="shared" ca="1" si="0"/>
        <v>4</v>
      </c>
      <c r="D10">
        <f t="shared" si="1"/>
        <v>0.6</v>
      </c>
      <c r="E10">
        <f t="shared" ca="1" si="2"/>
        <v>1.4</v>
      </c>
      <c r="F10">
        <f t="shared" ca="1" si="3"/>
        <v>3</v>
      </c>
      <c r="G10">
        <v>3</v>
      </c>
      <c r="H10">
        <f t="shared" si="4"/>
        <v>3</v>
      </c>
    </row>
    <row r="11" spans="1:8" x14ac:dyDescent="0.25">
      <c r="A11" s="1">
        <v>10</v>
      </c>
      <c r="B11" s="1">
        <f t="shared" ca="1" si="0"/>
        <v>4</v>
      </c>
      <c r="C11" s="1">
        <f t="shared" ca="1" si="0"/>
        <v>0</v>
      </c>
      <c r="D11">
        <f t="shared" si="1"/>
        <v>0.66666666666666663</v>
      </c>
      <c r="E11">
        <f t="shared" ca="1" si="2"/>
        <v>4</v>
      </c>
      <c r="F11">
        <f t="shared" ca="1" si="3"/>
        <v>6</v>
      </c>
      <c r="G11">
        <v>6</v>
      </c>
      <c r="H11">
        <f>G11+3</f>
        <v>9</v>
      </c>
    </row>
    <row r="12" spans="1:8" x14ac:dyDescent="0.25">
      <c r="A12" s="1">
        <v>11</v>
      </c>
      <c r="B12" s="1">
        <f t="shared" ca="1" si="0"/>
        <v>2</v>
      </c>
      <c r="C12" s="1">
        <f t="shared" ca="1" si="0"/>
        <v>3</v>
      </c>
      <c r="D12">
        <f t="shared" si="1"/>
        <v>0.73333333333333328</v>
      </c>
      <c r="E12">
        <f t="shared" ca="1" si="2"/>
        <v>2.6999999999999997</v>
      </c>
      <c r="F12">
        <f t="shared" ca="1" si="3"/>
        <v>4</v>
      </c>
      <c r="G12">
        <v>6</v>
      </c>
      <c r="H12">
        <f t="shared" si="4"/>
        <v>6</v>
      </c>
    </row>
    <row r="13" spans="1:8" x14ac:dyDescent="0.25">
      <c r="A13" s="1">
        <v>12</v>
      </c>
      <c r="B13" s="1">
        <f t="shared" ca="1" si="0"/>
        <v>0</v>
      </c>
      <c r="C13" s="1">
        <f t="shared" ca="1" si="0"/>
        <v>5</v>
      </c>
      <c r="D13">
        <f t="shared" si="1"/>
        <v>0.8</v>
      </c>
      <c r="E13">
        <f t="shared" ca="1" si="2"/>
        <v>1.5000000000000002</v>
      </c>
      <c r="F13">
        <f t="shared" ca="1" si="3"/>
        <v>3</v>
      </c>
      <c r="G13">
        <v>4</v>
      </c>
      <c r="H13">
        <f t="shared" si="4"/>
        <v>4</v>
      </c>
    </row>
    <row r="14" spans="1:8" x14ac:dyDescent="0.25">
      <c r="A14" s="1">
        <v>13</v>
      </c>
      <c r="B14" s="1">
        <f t="shared" ca="1" si="0"/>
        <v>0</v>
      </c>
      <c r="C14" s="1">
        <f t="shared" ca="1" si="0"/>
        <v>5</v>
      </c>
      <c r="D14">
        <f t="shared" si="1"/>
        <v>0.8666666666666667</v>
      </c>
      <c r="E14">
        <f t="shared" ca="1" si="2"/>
        <v>1.8333333333333335</v>
      </c>
      <c r="F14">
        <f t="shared" ca="1" si="3"/>
        <v>3</v>
      </c>
      <c r="G14">
        <v>3</v>
      </c>
      <c r="H14">
        <f>G14+5</f>
        <v>8</v>
      </c>
    </row>
    <row r="15" spans="1:8" x14ac:dyDescent="0.25">
      <c r="A15" s="1">
        <v>14</v>
      </c>
      <c r="B15" s="1">
        <f t="shared" ca="1" si="0"/>
        <v>2</v>
      </c>
      <c r="C15" s="1">
        <f t="shared" ca="1" si="0"/>
        <v>2</v>
      </c>
      <c r="D15">
        <f t="shared" si="1"/>
        <v>0.93333333333333335</v>
      </c>
      <c r="E15">
        <f t="shared" ca="1" si="2"/>
        <v>2.8666666666666667</v>
      </c>
      <c r="F15">
        <f t="shared" ca="1" si="3"/>
        <v>4</v>
      </c>
      <c r="G15">
        <v>3</v>
      </c>
      <c r="H15">
        <f t="shared" si="4"/>
        <v>3</v>
      </c>
    </row>
    <row r="16" spans="1:8" x14ac:dyDescent="0.25">
      <c r="A16" s="1">
        <v>15</v>
      </c>
      <c r="B16" s="1">
        <f t="shared" ca="1" si="0"/>
        <v>4</v>
      </c>
      <c r="C16" s="1">
        <f t="shared" ca="1" si="0"/>
        <v>4</v>
      </c>
      <c r="D16">
        <f t="shared" si="1"/>
        <v>1</v>
      </c>
      <c r="E16">
        <f t="shared" ca="1" si="2"/>
        <v>6</v>
      </c>
      <c r="F16">
        <f t="shared" ca="1" si="3"/>
        <v>8</v>
      </c>
      <c r="G16">
        <v>6</v>
      </c>
      <c r="H16">
        <f t="shared" si="4"/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B775D-EB63-44AE-B987-9BD99B60AFFA}">
  <dimension ref="B2:W45"/>
  <sheetViews>
    <sheetView tabSelected="1" zoomScaleNormal="100" workbookViewId="0">
      <selection activeCell="E23" sqref="E23"/>
    </sheetView>
  </sheetViews>
  <sheetFormatPr defaultRowHeight="15" x14ac:dyDescent="0.25"/>
  <cols>
    <col min="2" max="2" width="7.5703125" style="1" bestFit="1" customWidth="1"/>
    <col min="3" max="3" width="9.140625" customWidth="1"/>
    <col min="4" max="4" width="6.5703125" customWidth="1"/>
    <col min="6" max="6" width="7" customWidth="1"/>
    <col min="7" max="7" width="6.5703125" customWidth="1"/>
    <col min="8" max="8" width="12" bestFit="1" customWidth="1"/>
    <col min="9" max="9" width="11.85546875" bestFit="1" customWidth="1"/>
    <col min="10" max="10" width="6.5703125" customWidth="1"/>
    <col min="11" max="11" width="18.42578125" bestFit="1" customWidth="1"/>
    <col min="12" max="12" width="8.85546875" customWidth="1"/>
    <col min="13" max="13" width="6.5703125" customWidth="1"/>
    <col min="14" max="14" width="14.5703125" bestFit="1" customWidth="1"/>
    <col min="15" max="15" width="12.28515625" customWidth="1"/>
    <col min="16" max="16" width="13.85546875" bestFit="1" customWidth="1"/>
    <col min="17" max="17" width="17.85546875" bestFit="1" customWidth="1"/>
    <col min="18" max="18" width="13.85546875" customWidth="1"/>
    <col min="19" max="19" width="17.7109375" customWidth="1"/>
    <col min="20" max="20" width="15.85546875" bestFit="1" customWidth="1"/>
    <col min="21" max="21" width="16.85546875" customWidth="1"/>
  </cols>
  <sheetData>
    <row r="2" spans="2:23" x14ac:dyDescent="0.25">
      <c r="B2" s="15" t="s">
        <v>41</v>
      </c>
      <c r="C2" s="15" t="s">
        <v>1</v>
      </c>
      <c r="H2" s="15" t="s">
        <v>41</v>
      </c>
      <c r="I2" s="16" t="s">
        <v>15</v>
      </c>
      <c r="N2" s="15" t="s">
        <v>41</v>
      </c>
      <c r="O2" s="16" t="s">
        <v>1</v>
      </c>
      <c r="P2" s="21" t="s">
        <v>27</v>
      </c>
      <c r="Q2" s="21" t="s">
        <v>48</v>
      </c>
      <c r="R2" s="39" t="s">
        <v>44</v>
      </c>
      <c r="T2" s="35" t="s">
        <v>28</v>
      </c>
      <c r="U2" s="10"/>
      <c r="V2" s="10"/>
    </row>
    <row r="3" spans="2:23" ht="18" x14ac:dyDescent="0.35">
      <c r="B3" s="1">
        <v>1</v>
      </c>
      <c r="C3" s="1">
        <v>2</v>
      </c>
      <c r="E3" s="9" t="s">
        <v>7</v>
      </c>
      <c r="F3" s="10">
        <f>+MIN($C$3:$C$17)</f>
        <v>1</v>
      </c>
      <c r="H3" s="1">
        <v>1</v>
      </c>
      <c r="I3">
        <f>(C3-$F$10)^2</f>
        <v>8.4100000000000019</v>
      </c>
      <c r="K3" s="9" t="s">
        <v>16</v>
      </c>
      <c r="L3" s="10">
        <f>SUM(I3:I17)</f>
        <v>111.74999999999999</v>
      </c>
      <c r="N3" s="1">
        <v>3</v>
      </c>
      <c r="O3" s="1">
        <v>1</v>
      </c>
      <c r="P3">
        <v>1</v>
      </c>
      <c r="Q3" s="25">
        <f>+P3/$P$17</f>
        <v>6.6666666666666666E-2</v>
      </c>
      <c r="R3" s="6" t="str">
        <f>+IF(P3=$V$4,"YES", "no")</f>
        <v>no</v>
      </c>
      <c r="T3" s="17" t="s">
        <v>29</v>
      </c>
      <c r="U3" s="18"/>
      <c r="V3" s="18" t="s">
        <v>39</v>
      </c>
    </row>
    <row r="4" spans="2:23" x14ac:dyDescent="0.25">
      <c r="B4" s="1">
        <v>2</v>
      </c>
      <c r="C4" s="1">
        <v>3</v>
      </c>
      <c r="E4" s="11" t="s">
        <v>8</v>
      </c>
      <c r="F4" s="12">
        <f>+MAX($C$3:$C$17)</f>
        <v>11</v>
      </c>
      <c r="H4" s="1">
        <v>2</v>
      </c>
      <c r="I4">
        <f t="shared" ref="I4:I17" si="0">(C4-$F$10)^2</f>
        <v>3.6100000000000012</v>
      </c>
      <c r="K4" s="17" t="s">
        <v>17</v>
      </c>
      <c r="L4" s="18">
        <f>+F8-1</f>
        <v>14</v>
      </c>
      <c r="N4" s="1">
        <v>1</v>
      </c>
      <c r="O4" s="1">
        <v>2</v>
      </c>
      <c r="P4">
        <f>+P3+1</f>
        <v>2</v>
      </c>
      <c r="Q4" s="25">
        <f t="shared" ref="Q4:Q17" si="1">+P4/$P$17</f>
        <v>0.13333333333333333</v>
      </c>
      <c r="R4" s="6" t="str">
        <f>+IF(P4=$V$4,"YES", "no")</f>
        <v>no</v>
      </c>
      <c r="T4" s="27" t="s">
        <v>30</v>
      </c>
      <c r="U4" s="27"/>
      <c r="V4" s="18">
        <f>+(F8+1)/2</f>
        <v>8</v>
      </c>
      <c r="W4" s="2" t="s">
        <v>38</v>
      </c>
    </row>
    <row r="5" spans="2:23" x14ac:dyDescent="0.25">
      <c r="B5" s="1">
        <v>3</v>
      </c>
      <c r="C5" s="1">
        <v>1</v>
      </c>
      <c r="E5" s="11" t="s">
        <v>9</v>
      </c>
      <c r="F5" s="12">
        <f>F4-F3</f>
        <v>10</v>
      </c>
      <c r="H5" s="1">
        <v>3</v>
      </c>
      <c r="I5">
        <f t="shared" si="0"/>
        <v>15.210000000000003</v>
      </c>
      <c r="K5" s="18"/>
      <c r="L5" s="18"/>
      <c r="N5" s="1">
        <v>6</v>
      </c>
      <c r="O5" s="1">
        <v>2</v>
      </c>
      <c r="P5">
        <f t="shared" ref="P5:P17" si="2">+P4+1</f>
        <v>3</v>
      </c>
      <c r="Q5" s="25">
        <f t="shared" si="1"/>
        <v>0.2</v>
      </c>
      <c r="R5" s="6" t="str">
        <f>+IF(P5=$V$4,"YES", "no")</f>
        <v>no</v>
      </c>
      <c r="T5" s="17" t="s">
        <v>33</v>
      </c>
      <c r="U5" s="17"/>
      <c r="V5" s="17">
        <f>+O10</f>
        <v>4</v>
      </c>
    </row>
    <row r="6" spans="2:23" x14ac:dyDescent="0.25">
      <c r="B6" s="1">
        <v>4</v>
      </c>
      <c r="C6" s="1">
        <v>5</v>
      </c>
      <c r="E6" s="11"/>
      <c r="F6" s="12"/>
      <c r="H6" s="1">
        <v>4</v>
      </c>
      <c r="I6">
        <f t="shared" si="0"/>
        <v>9.9999999999999291E-3</v>
      </c>
      <c r="K6" s="17" t="s">
        <v>18</v>
      </c>
      <c r="L6" s="18">
        <f>+ROUND(L3/L4,2)</f>
        <v>7.98</v>
      </c>
      <c r="N6" s="1">
        <v>2</v>
      </c>
      <c r="O6" s="1">
        <v>3</v>
      </c>
      <c r="P6">
        <f t="shared" si="2"/>
        <v>4</v>
      </c>
      <c r="Q6" s="25">
        <f t="shared" si="1"/>
        <v>0.26666666666666666</v>
      </c>
      <c r="R6" s="6" t="str">
        <f>+IF(P6=$V$4,"YES", "no")</f>
        <v>no</v>
      </c>
      <c r="T6" s="30" t="s">
        <v>32</v>
      </c>
      <c r="U6" s="30"/>
      <c r="V6" s="30">
        <f>+MEDIAN(O3:O17)</f>
        <v>4</v>
      </c>
      <c r="W6" s="2" t="s">
        <v>40</v>
      </c>
    </row>
    <row r="7" spans="2:23" x14ac:dyDescent="0.25">
      <c r="B7" s="1">
        <v>5</v>
      </c>
      <c r="C7" s="1">
        <v>4</v>
      </c>
      <c r="E7" s="11" t="s">
        <v>13</v>
      </c>
      <c r="F7" s="12">
        <f>SUM(C3:C17)</f>
        <v>73</v>
      </c>
      <c r="H7" s="1">
        <v>5</v>
      </c>
      <c r="I7">
        <f t="shared" si="0"/>
        <v>0.81000000000000061</v>
      </c>
      <c r="K7" s="19" t="s">
        <v>19</v>
      </c>
      <c r="L7" s="18"/>
      <c r="N7" s="1">
        <v>9</v>
      </c>
      <c r="O7" s="1">
        <v>3</v>
      </c>
      <c r="P7">
        <f t="shared" si="2"/>
        <v>5</v>
      </c>
      <c r="Q7" s="25">
        <f t="shared" si="1"/>
        <v>0.33333333333333331</v>
      </c>
      <c r="R7" s="6" t="str">
        <f>+IF(P7=$V$4,"YES", "no")</f>
        <v>no</v>
      </c>
      <c r="T7" s="29" t="s">
        <v>34</v>
      </c>
      <c r="U7" s="29"/>
      <c r="V7" s="36">
        <f>+COUNT($O$3:$O$9)/$F$8</f>
        <v>0.46666666666666667</v>
      </c>
    </row>
    <row r="8" spans="2:23" x14ac:dyDescent="0.25">
      <c r="B8" s="1">
        <v>6</v>
      </c>
      <c r="C8" s="1">
        <v>2</v>
      </c>
      <c r="E8" s="11" t="s">
        <v>11</v>
      </c>
      <c r="F8" s="12">
        <f>COUNT(C3:C17)</f>
        <v>15</v>
      </c>
      <c r="H8" s="1">
        <v>6</v>
      </c>
      <c r="I8">
        <f t="shared" si="0"/>
        <v>8.4100000000000019</v>
      </c>
      <c r="K8" s="17"/>
      <c r="L8" s="18"/>
      <c r="N8" s="1">
        <v>14</v>
      </c>
      <c r="O8" s="1">
        <v>3</v>
      </c>
      <c r="P8">
        <f t="shared" si="2"/>
        <v>6</v>
      </c>
      <c r="Q8" s="25">
        <f t="shared" si="1"/>
        <v>0.4</v>
      </c>
      <c r="R8" s="6" t="str">
        <f>+IF(P8=$V$4,"YES", "no")</f>
        <v>no</v>
      </c>
      <c r="T8" s="31" t="s">
        <v>35</v>
      </c>
      <c r="U8" s="31"/>
      <c r="V8" s="32">
        <f>+COUNT(O11:O17)/$F$8</f>
        <v>0.46666666666666667</v>
      </c>
    </row>
    <row r="9" spans="2:23" x14ac:dyDescent="0.25">
      <c r="B9" s="1">
        <v>7</v>
      </c>
      <c r="C9" s="1">
        <v>6</v>
      </c>
      <c r="E9" s="11"/>
      <c r="F9" s="12"/>
      <c r="H9" s="1">
        <v>7</v>
      </c>
      <c r="I9">
        <f t="shared" si="0"/>
        <v>1.2099999999999993</v>
      </c>
      <c r="K9" s="17" t="s">
        <v>20</v>
      </c>
      <c r="L9" s="18">
        <f>+ROUND(SQRT(L6),2)</f>
        <v>2.82</v>
      </c>
      <c r="N9" s="1">
        <v>5</v>
      </c>
      <c r="O9" s="1">
        <v>4</v>
      </c>
      <c r="P9">
        <f t="shared" si="2"/>
        <v>7</v>
      </c>
      <c r="Q9" s="25">
        <f t="shared" si="1"/>
        <v>0.46666666666666667</v>
      </c>
      <c r="R9" s="6" t="str">
        <f>+IF(P9=$V$4,"YES", "no")</f>
        <v>no</v>
      </c>
    </row>
    <row r="10" spans="2:23" x14ac:dyDescent="0.25">
      <c r="B10" s="1">
        <v>8</v>
      </c>
      <c r="C10" s="1">
        <v>11</v>
      </c>
      <c r="E10" s="11" t="s">
        <v>14</v>
      </c>
      <c r="F10" s="12">
        <f>+ROUND(F7/F8,1)</f>
        <v>4.9000000000000004</v>
      </c>
      <c r="H10" s="1">
        <v>8</v>
      </c>
      <c r="I10">
        <f t="shared" si="0"/>
        <v>37.209999999999994</v>
      </c>
      <c r="K10" s="20" t="s">
        <v>21</v>
      </c>
      <c r="L10" s="14"/>
      <c r="N10" s="1">
        <v>12</v>
      </c>
      <c r="O10" s="26">
        <v>4</v>
      </c>
      <c r="P10" s="38">
        <f t="shared" si="2"/>
        <v>8</v>
      </c>
      <c r="Q10" s="25">
        <f t="shared" si="1"/>
        <v>0.53333333333333333</v>
      </c>
      <c r="R10" s="41" t="str">
        <f>+IF(P10=$V$4,"YES", "no")</f>
        <v>YES</v>
      </c>
      <c r="S10" s="42" t="s">
        <v>31</v>
      </c>
    </row>
    <row r="11" spans="2:23" x14ac:dyDescent="0.25">
      <c r="B11" s="1">
        <v>9</v>
      </c>
      <c r="C11" s="1">
        <v>3</v>
      </c>
      <c r="E11" s="13" t="s">
        <v>12</v>
      </c>
      <c r="F11" s="14"/>
      <c r="H11" s="1">
        <v>9</v>
      </c>
      <c r="I11">
        <f t="shared" si="0"/>
        <v>3.6100000000000012</v>
      </c>
      <c r="N11" s="1">
        <v>4</v>
      </c>
      <c r="O11" s="1">
        <v>5</v>
      </c>
      <c r="P11">
        <f t="shared" si="2"/>
        <v>9</v>
      </c>
      <c r="Q11" s="25">
        <f t="shared" si="1"/>
        <v>0.6</v>
      </c>
      <c r="R11" s="6" t="str">
        <f>+IF(P11=$V$4,"YES", "no")</f>
        <v>no</v>
      </c>
    </row>
    <row r="12" spans="2:23" x14ac:dyDescent="0.25">
      <c r="B12" s="1">
        <v>10</v>
      </c>
      <c r="C12" s="1">
        <v>9</v>
      </c>
      <c r="H12" s="1">
        <v>10</v>
      </c>
      <c r="I12">
        <f t="shared" si="0"/>
        <v>16.809999999999999</v>
      </c>
      <c r="N12" s="1">
        <v>7</v>
      </c>
      <c r="O12" s="1">
        <v>6</v>
      </c>
      <c r="P12">
        <f t="shared" si="2"/>
        <v>10</v>
      </c>
      <c r="Q12" s="25">
        <f t="shared" si="1"/>
        <v>0.66666666666666663</v>
      </c>
      <c r="R12" s="6" t="str">
        <f>+IF(P12=$V$4,"YES", "no")</f>
        <v>no</v>
      </c>
    </row>
    <row r="13" spans="2:23" x14ac:dyDescent="0.25">
      <c r="B13" s="1">
        <v>11</v>
      </c>
      <c r="C13" s="1">
        <v>6</v>
      </c>
      <c r="H13" s="1">
        <v>11</v>
      </c>
      <c r="I13">
        <f t="shared" si="0"/>
        <v>1.2099999999999993</v>
      </c>
      <c r="N13" s="1">
        <v>11</v>
      </c>
      <c r="O13" s="1">
        <v>6</v>
      </c>
      <c r="P13">
        <f t="shared" si="2"/>
        <v>11</v>
      </c>
      <c r="Q13" s="25">
        <f t="shared" si="1"/>
        <v>0.73333333333333328</v>
      </c>
      <c r="R13" s="6" t="str">
        <f>+IF(P13=$V$4,"YES", "no")</f>
        <v>no</v>
      </c>
    </row>
    <row r="14" spans="2:23" x14ac:dyDescent="0.25">
      <c r="B14" s="1">
        <v>12</v>
      </c>
      <c r="C14" s="1">
        <v>4</v>
      </c>
      <c r="H14" s="1">
        <v>12</v>
      </c>
      <c r="I14">
        <f t="shared" si="0"/>
        <v>0.81000000000000061</v>
      </c>
      <c r="N14" s="1">
        <v>15</v>
      </c>
      <c r="O14" s="1">
        <v>6</v>
      </c>
      <c r="P14">
        <f t="shared" si="2"/>
        <v>12</v>
      </c>
      <c r="Q14" s="25">
        <f t="shared" si="1"/>
        <v>0.8</v>
      </c>
      <c r="R14" s="6" t="str">
        <f>+IF(P14=$V$4,"YES", "no")</f>
        <v>no</v>
      </c>
    </row>
    <row r="15" spans="2:23" x14ac:dyDescent="0.25">
      <c r="B15" s="1">
        <v>13</v>
      </c>
      <c r="C15" s="1">
        <v>8</v>
      </c>
      <c r="H15" s="1">
        <v>13</v>
      </c>
      <c r="I15">
        <f t="shared" si="0"/>
        <v>9.6099999999999977</v>
      </c>
      <c r="N15" s="1">
        <v>13</v>
      </c>
      <c r="O15" s="1">
        <v>8</v>
      </c>
      <c r="P15">
        <f t="shared" si="2"/>
        <v>13</v>
      </c>
      <c r="Q15" s="25">
        <f t="shared" si="1"/>
        <v>0.8666666666666667</v>
      </c>
      <c r="R15" s="6" t="str">
        <f>+IF(P15=$V$4,"YES", "no")</f>
        <v>no</v>
      </c>
    </row>
    <row r="16" spans="2:23" x14ac:dyDescent="0.25">
      <c r="B16" s="1">
        <v>14</v>
      </c>
      <c r="C16" s="1">
        <v>3</v>
      </c>
      <c r="H16" s="1">
        <v>14</v>
      </c>
      <c r="I16">
        <f t="shared" si="0"/>
        <v>3.6100000000000012</v>
      </c>
      <c r="N16" s="1">
        <v>10</v>
      </c>
      <c r="O16" s="1">
        <v>9</v>
      </c>
      <c r="P16">
        <f t="shared" si="2"/>
        <v>14</v>
      </c>
      <c r="Q16" s="25">
        <f t="shared" si="1"/>
        <v>0.93333333333333335</v>
      </c>
      <c r="R16" s="6" t="str">
        <f>+IF(P16=$V$4,"YES", "no")</f>
        <v>no</v>
      </c>
    </row>
    <row r="17" spans="2:18" x14ac:dyDescent="0.25">
      <c r="B17" s="8">
        <v>15</v>
      </c>
      <c r="C17" s="8">
        <v>6</v>
      </c>
      <c r="H17" s="8">
        <v>15</v>
      </c>
      <c r="I17" s="4">
        <f t="shared" si="0"/>
        <v>1.2099999999999993</v>
      </c>
      <c r="N17" s="8">
        <v>8</v>
      </c>
      <c r="O17" s="8">
        <v>11</v>
      </c>
      <c r="P17" s="4">
        <f t="shared" si="2"/>
        <v>15</v>
      </c>
      <c r="Q17" s="51">
        <f t="shared" si="1"/>
        <v>1</v>
      </c>
      <c r="R17" s="40" t="str">
        <f>+IF(P17=$V$4,"YES", "no")</f>
        <v>no</v>
      </c>
    </row>
    <row r="18" spans="2:18" x14ac:dyDescent="0.25">
      <c r="N18" s="2" t="s">
        <v>65</v>
      </c>
    </row>
    <row r="19" spans="2:18" x14ac:dyDescent="0.25">
      <c r="B19" s="52" t="s">
        <v>42</v>
      </c>
      <c r="C19" s="52"/>
      <c r="H19" s="52" t="s">
        <v>45</v>
      </c>
      <c r="I19" s="52"/>
    </row>
    <row r="20" spans="2:18" x14ac:dyDescent="0.25">
      <c r="B20" s="52"/>
      <c r="C20" s="52"/>
      <c r="H20" s="52"/>
      <c r="I20" s="52"/>
    </row>
    <row r="21" spans="2:18" x14ac:dyDescent="0.25">
      <c r="B21" s="52"/>
      <c r="C21" s="52"/>
      <c r="H21" s="52"/>
      <c r="I21" s="52"/>
      <c r="N21" s="9" t="s">
        <v>25</v>
      </c>
      <c r="O21" s="10"/>
      <c r="P21" s="10"/>
      <c r="Q21" s="10"/>
    </row>
    <row r="22" spans="2:18" x14ac:dyDescent="0.25">
      <c r="B22" s="52" t="s">
        <v>43</v>
      </c>
      <c r="C22" s="52"/>
      <c r="N22" s="14" t="s">
        <v>36</v>
      </c>
      <c r="O22" s="14" t="s">
        <v>37</v>
      </c>
      <c r="P22" s="28" t="s">
        <v>26</v>
      </c>
      <c r="Q22" s="28" t="s">
        <v>49</v>
      </c>
    </row>
    <row r="23" spans="2:18" x14ac:dyDescent="0.25">
      <c r="B23" s="52"/>
      <c r="C23" s="52"/>
      <c r="N23" s="18">
        <v>1</v>
      </c>
      <c r="O23" s="18">
        <v>1</v>
      </c>
      <c r="P23" s="33">
        <f>+O23/$O$32</f>
        <v>6.6666666666666666E-2</v>
      </c>
      <c r="Q23" s="33">
        <f>+P23</f>
        <v>6.6666666666666666E-2</v>
      </c>
    </row>
    <row r="24" spans="2:18" x14ac:dyDescent="0.25">
      <c r="B24" s="52"/>
      <c r="C24" s="52"/>
      <c r="N24" s="18">
        <v>2</v>
      </c>
      <c r="O24" s="18">
        <v>2</v>
      </c>
      <c r="P24" s="33">
        <f t="shared" ref="P24:P31" si="3">+O24/$O$32</f>
        <v>0.13333333333333333</v>
      </c>
      <c r="Q24" s="33">
        <f>+P24+Q23</f>
        <v>0.2</v>
      </c>
    </row>
    <row r="25" spans="2:18" x14ac:dyDescent="0.25">
      <c r="N25" s="18">
        <v>3</v>
      </c>
      <c r="O25" s="18">
        <v>3</v>
      </c>
      <c r="P25" s="33">
        <f t="shared" si="3"/>
        <v>0.2</v>
      </c>
      <c r="Q25" s="33">
        <f>+P25+Q24</f>
        <v>0.4</v>
      </c>
    </row>
    <row r="26" spans="2:18" x14ac:dyDescent="0.25">
      <c r="N26" s="18">
        <v>4</v>
      </c>
      <c r="O26" s="18">
        <v>2</v>
      </c>
      <c r="P26" s="33">
        <f t="shared" si="3"/>
        <v>0.13333333333333333</v>
      </c>
      <c r="Q26" s="33">
        <f>+P26+Q25</f>
        <v>0.53333333333333333</v>
      </c>
    </row>
    <row r="27" spans="2:18" x14ac:dyDescent="0.25">
      <c r="B27" s="43" t="s">
        <v>46</v>
      </c>
      <c r="C27" s="12"/>
      <c r="D27" s="12"/>
      <c r="E27" s="12"/>
      <c r="F27" s="12"/>
      <c r="G27" s="12"/>
      <c r="H27" s="12"/>
      <c r="I27" s="12"/>
      <c r="J27" s="12"/>
      <c r="K27" s="12"/>
      <c r="N27" s="18">
        <v>5</v>
      </c>
      <c r="O27" s="18">
        <v>1</v>
      </c>
      <c r="P27" s="33">
        <f t="shared" si="3"/>
        <v>6.6666666666666666E-2</v>
      </c>
      <c r="Q27" s="33">
        <f>+P27+Q26</f>
        <v>0.6</v>
      </c>
    </row>
    <row r="28" spans="2:18" x14ac:dyDescent="0.25">
      <c r="B28" s="45"/>
      <c r="C28" s="10"/>
      <c r="D28" s="10"/>
      <c r="E28" s="10"/>
      <c r="F28" s="10"/>
      <c r="G28" s="10"/>
      <c r="H28" s="10"/>
      <c r="I28" s="10"/>
      <c r="J28" s="10"/>
      <c r="K28" s="46"/>
      <c r="N28" s="18">
        <v>6</v>
      </c>
      <c r="O28" s="18">
        <v>3</v>
      </c>
      <c r="P28" s="33">
        <f t="shared" si="3"/>
        <v>0.2</v>
      </c>
      <c r="Q28" s="33">
        <f>+P28+Q27</f>
        <v>0.8</v>
      </c>
    </row>
    <row r="29" spans="2:18" x14ac:dyDescent="0.25">
      <c r="B29" s="47"/>
      <c r="C29" s="18"/>
      <c r="D29" s="18"/>
      <c r="E29" s="18"/>
      <c r="F29" s="18"/>
      <c r="G29" s="18"/>
      <c r="H29" s="18"/>
      <c r="I29" s="18"/>
      <c r="J29" s="18"/>
      <c r="K29" s="48"/>
      <c r="N29" s="18">
        <v>8</v>
      </c>
      <c r="O29" s="18">
        <v>1</v>
      </c>
      <c r="P29" s="33">
        <f t="shared" si="3"/>
        <v>6.6666666666666666E-2</v>
      </c>
      <c r="Q29" s="33">
        <f>+P29+Q28</f>
        <v>0.8666666666666667</v>
      </c>
    </row>
    <row r="30" spans="2:18" x14ac:dyDescent="0.25">
      <c r="B30" s="47"/>
      <c r="C30" s="18"/>
      <c r="D30" s="18"/>
      <c r="E30" s="18"/>
      <c r="F30" s="18"/>
      <c r="G30" s="18"/>
      <c r="H30" s="18"/>
      <c r="I30" s="18"/>
      <c r="J30" s="18"/>
      <c r="K30" s="48"/>
      <c r="N30" s="18">
        <v>9</v>
      </c>
      <c r="O30" s="18">
        <v>1</v>
      </c>
      <c r="P30" s="33">
        <f t="shared" si="3"/>
        <v>6.6666666666666666E-2</v>
      </c>
      <c r="Q30" s="33">
        <f>+P30+Q29</f>
        <v>0.93333333333333335</v>
      </c>
    </row>
    <row r="31" spans="2:18" x14ac:dyDescent="0.25">
      <c r="B31" s="47"/>
      <c r="C31" s="18"/>
      <c r="D31" s="18"/>
      <c r="E31" s="18"/>
      <c r="F31" s="18"/>
      <c r="G31" s="18"/>
      <c r="H31" s="18"/>
      <c r="I31" s="18"/>
      <c r="J31" s="18"/>
      <c r="K31" s="48"/>
      <c r="N31" s="14">
        <v>11</v>
      </c>
      <c r="O31" s="14">
        <v>1</v>
      </c>
      <c r="P31" s="34">
        <f t="shared" si="3"/>
        <v>6.6666666666666666E-2</v>
      </c>
      <c r="Q31" s="34">
        <f>+P31+Q30</f>
        <v>1</v>
      </c>
    </row>
    <row r="32" spans="2:18" x14ac:dyDescent="0.25">
      <c r="B32" s="47"/>
      <c r="C32" s="18"/>
      <c r="D32" s="18"/>
      <c r="E32" s="18"/>
      <c r="F32" s="18"/>
      <c r="G32" s="18"/>
      <c r="H32" s="18"/>
      <c r="I32" s="18"/>
      <c r="J32" s="18"/>
      <c r="K32" s="48"/>
      <c r="N32" s="14" t="s">
        <v>23</v>
      </c>
      <c r="O32" s="14">
        <v>15</v>
      </c>
      <c r="P32" s="14"/>
      <c r="Q32" s="14"/>
    </row>
    <row r="33" spans="2:15" x14ac:dyDescent="0.25">
      <c r="B33" s="47"/>
      <c r="C33" s="18"/>
      <c r="D33" s="18"/>
      <c r="E33" s="18"/>
      <c r="F33" s="18"/>
      <c r="G33" s="18"/>
      <c r="H33" s="18"/>
      <c r="I33" s="18"/>
      <c r="J33" s="18"/>
      <c r="K33" s="48"/>
    </row>
    <row r="34" spans="2:15" x14ac:dyDescent="0.25">
      <c r="B34" s="47"/>
      <c r="C34" s="18"/>
      <c r="D34" s="18"/>
      <c r="E34" s="18"/>
      <c r="F34" s="18"/>
      <c r="G34" s="18"/>
      <c r="H34" s="18"/>
      <c r="I34" s="18"/>
      <c r="J34" s="18"/>
      <c r="K34" s="48"/>
      <c r="N34" s="3" t="s">
        <v>25</v>
      </c>
    </row>
    <row r="35" spans="2:15" x14ac:dyDescent="0.25">
      <c r="B35" s="47"/>
      <c r="C35" s="18"/>
      <c r="D35" s="18"/>
      <c r="E35" s="18"/>
      <c r="F35" s="18"/>
      <c r="G35" s="18"/>
      <c r="H35" s="18"/>
      <c r="I35" s="18"/>
      <c r="J35" s="18"/>
      <c r="K35" s="48"/>
      <c r="N35" s="22" t="s">
        <v>22</v>
      </c>
      <c r="O35" t="s">
        <v>24</v>
      </c>
    </row>
    <row r="36" spans="2:15" x14ac:dyDescent="0.25">
      <c r="B36" s="47"/>
      <c r="C36" s="18"/>
      <c r="D36" s="18"/>
      <c r="E36" s="18"/>
      <c r="F36" s="18"/>
      <c r="G36" s="18"/>
      <c r="H36" s="18"/>
      <c r="I36" s="18"/>
      <c r="J36" s="18"/>
      <c r="K36" s="48"/>
      <c r="N36" s="23">
        <v>1</v>
      </c>
      <c r="O36" s="24">
        <v>1</v>
      </c>
    </row>
    <row r="37" spans="2:15" x14ac:dyDescent="0.25">
      <c r="B37" s="47"/>
      <c r="C37" s="18"/>
      <c r="D37" s="18"/>
      <c r="E37" s="18"/>
      <c r="F37" s="18"/>
      <c r="G37" s="18"/>
      <c r="H37" s="18"/>
      <c r="I37" s="18"/>
      <c r="J37" s="18"/>
      <c r="K37" s="48"/>
      <c r="N37" s="23">
        <v>2</v>
      </c>
      <c r="O37" s="24">
        <v>2</v>
      </c>
    </row>
    <row r="38" spans="2:15" x14ac:dyDescent="0.25">
      <c r="B38" s="49"/>
      <c r="C38" s="14"/>
      <c r="D38" s="14"/>
      <c r="E38" s="14"/>
      <c r="F38" s="14"/>
      <c r="G38" s="14"/>
      <c r="H38" s="14"/>
      <c r="I38" s="14"/>
      <c r="J38" s="14"/>
      <c r="K38" s="50"/>
      <c r="N38" s="23">
        <v>3</v>
      </c>
      <c r="O38" s="24">
        <v>3</v>
      </c>
    </row>
    <row r="39" spans="2:15" x14ac:dyDescent="0.25">
      <c r="B39" s="44" t="s">
        <v>47</v>
      </c>
      <c r="N39" s="23">
        <v>4</v>
      </c>
      <c r="O39" s="24">
        <v>2</v>
      </c>
    </row>
    <row r="40" spans="2:15" x14ac:dyDescent="0.25">
      <c r="N40" s="23">
        <v>5</v>
      </c>
      <c r="O40" s="24">
        <v>1</v>
      </c>
    </row>
    <row r="41" spans="2:15" x14ac:dyDescent="0.25">
      <c r="N41" s="23">
        <v>6</v>
      </c>
      <c r="O41" s="24">
        <v>3</v>
      </c>
    </row>
    <row r="42" spans="2:15" x14ac:dyDescent="0.25">
      <c r="N42" s="23">
        <v>8</v>
      </c>
      <c r="O42" s="24">
        <v>1</v>
      </c>
    </row>
    <row r="43" spans="2:15" x14ac:dyDescent="0.25">
      <c r="N43" s="23">
        <v>9</v>
      </c>
      <c r="O43" s="24">
        <v>1</v>
      </c>
    </row>
    <row r="44" spans="2:15" x14ac:dyDescent="0.25">
      <c r="N44" s="23">
        <v>11</v>
      </c>
      <c r="O44" s="24">
        <v>1</v>
      </c>
    </row>
    <row r="45" spans="2:15" x14ac:dyDescent="0.25">
      <c r="N45" s="23" t="s">
        <v>23</v>
      </c>
      <c r="O45" s="24">
        <v>15</v>
      </c>
    </row>
  </sheetData>
  <autoFilter ref="N2:O17" xr:uid="{494B775D-EB63-44AE-B987-9BD99B60AFFA}">
    <sortState xmlns:xlrd2="http://schemas.microsoft.com/office/spreadsheetml/2017/richdata2" ref="N3:O17">
      <sortCondition ref="O2:O17"/>
    </sortState>
  </autoFilter>
  <mergeCells count="6">
    <mergeCell ref="T4:U4"/>
    <mergeCell ref="T7:U7"/>
    <mergeCell ref="T8:U8"/>
    <mergeCell ref="B19:C21"/>
    <mergeCell ref="B22:C24"/>
    <mergeCell ref="H19:I21"/>
  </mergeCell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6288C-AEC2-475E-B03A-76CE72756A77}">
  <dimension ref="B2:N27"/>
  <sheetViews>
    <sheetView workbookViewId="0">
      <selection activeCell="F13" sqref="F13"/>
    </sheetView>
  </sheetViews>
  <sheetFormatPr defaultRowHeight="15" x14ac:dyDescent="0.25"/>
  <cols>
    <col min="9" max="9" width="11.140625" customWidth="1"/>
    <col min="10" max="10" width="12.85546875" customWidth="1"/>
    <col min="11" max="11" width="11" bestFit="1" customWidth="1"/>
    <col min="13" max="13" width="13.28515625" customWidth="1"/>
  </cols>
  <sheetData>
    <row r="2" spans="2:14" x14ac:dyDescent="0.25">
      <c r="B2" s="15" t="s">
        <v>41</v>
      </c>
      <c r="C2" s="15" t="s">
        <v>1</v>
      </c>
    </row>
    <row r="3" spans="2:14" x14ac:dyDescent="0.25">
      <c r="B3" s="1">
        <v>1</v>
      </c>
      <c r="C3" s="1">
        <v>2</v>
      </c>
      <c r="E3" s="9" t="s">
        <v>7</v>
      </c>
      <c r="F3" s="10">
        <f>+MIN($C$3:$C$17)</f>
        <v>1</v>
      </c>
      <c r="H3" t="s">
        <v>51</v>
      </c>
    </row>
    <row r="4" spans="2:14" x14ac:dyDescent="0.25">
      <c r="B4" s="1">
        <v>2</v>
      </c>
      <c r="C4" s="1">
        <v>3</v>
      </c>
      <c r="E4" s="11" t="s">
        <v>8</v>
      </c>
      <c r="F4" s="12">
        <f>+MAX($C$3:$C$17)</f>
        <v>11</v>
      </c>
      <c r="H4" t="s">
        <v>52</v>
      </c>
    </row>
    <row r="5" spans="2:14" x14ac:dyDescent="0.25">
      <c r="B5" s="1">
        <v>3</v>
      </c>
      <c r="C5" s="1">
        <v>1</v>
      </c>
      <c r="E5" s="11" t="s">
        <v>9</v>
      </c>
      <c r="F5" s="12">
        <f>F4-F3</f>
        <v>10</v>
      </c>
    </row>
    <row r="6" spans="2:14" x14ac:dyDescent="0.25">
      <c r="B6" s="1">
        <v>4</v>
      </c>
      <c r="C6" s="1">
        <v>5</v>
      </c>
      <c r="E6" s="11"/>
      <c r="F6" s="12"/>
      <c r="I6" s="5" t="s">
        <v>54</v>
      </c>
      <c r="J6" s="5">
        <v>5</v>
      </c>
      <c r="K6" s="5"/>
      <c r="L6" s="5"/>
      <c r="M6" s="5"/>
    </row>
    <row r="7" spans="2:14" x14ac:dyDescent="0.25">
      <c r="B7" s="1">
        <v>5</v>
      </c>
      <c r="C7" s="1">
        <v>4</v>
      </c>
      <c r="E7" s="11" t="s">
        <v>13</v>
      </c>
      <c r="F7" s="12">
        <f>SUM(C3:C17)</f>
        <v>73</v>
      </c>
      <c r="I7" s="7" t="s">
        <v>53</v>
      </c>
      <c r="J7" s="7">
        <f>+F5/J6</f>
        <v>2</v>
      </c>
      <c r="K7" s="7"/>
      <c r="L7" s="7"/>
      <c r="M7" s="7"/>
    </row>
    <row r="8" spans="2:14" x14ac:dyDescent="0.25">
      <c r="B8" s="1">
        <v>6</v>
      </c>
      <c r="C8" s="1">
        <v>2</v>
      </c>
      <c r="E8" s="11" t="s">
        <v>11</v>
      </c>
      <c r="F8" s="12">
        <f>COUNT(C3:C17)</f>
        <v>15</v>
      </c>
      <c r="I8" s="4" t="s">
        <v>63</v>
      </c>
      <c r="J8" s="4"/>
      <c r="K8" s="4"/>
      <c r="L8" s="4"/>
      <c r="M8" s="4"/>
    </row>
    <row r="9" spans="2:14" x14ac:dyDescent="0.25">
      <c r="B9" s="1">
        <v>7</v>
      </c>
      <c r="C9" s="1">
        <v>6</v>
      </c>
      <c r="E9" s="11"/>
      <c r="F9" s="12"/>
    </row>
    <row r="10" spans="2:14" x14ac:dyDescent="0.25">
      <c r="B10" s="1">
        <v>8</v>
      </c>
      <c r="C10" s="1">
        <v>11</v>
      </c>
      <c r="E10" s="11" t="s">
        <v>14</v>
      </c>
      <c r="F10" s="12">
        <f>+ROUND(F7/F8,1)</f>
        <v>4.9000000000000004</v>
      </c>
      <c r="J10" t="s">
        <v>55</v>
      </c>
      <c r="K10" t="s">
        <v>56</v>
      </c>
      <c r="L10" t="s">
        <v>62</v>
      </c>
      <c r="M10" t="s">
        <v>64</v>
      </c>
      <c r="N10" t="s">
        <v>37</v>
      </c>
    </row>
    <row r="11" spans="2:14" x14ac:dyDescent="0.25">
      <c r="B11" s="1">
        <v>9</v>
      </c>
      <c r="C11" s="1">
        <v>3</v>
      </c>
      <c r="E11" s="13" t="s">
        <v>12</v>
      </c>
      <c r="F11" s="14"/>
      <c r="I11" t="s">
        <v>57</v>
      </c>
      <c r="J11">
        <f>+F3</f>
        <v>1</v>
      </c>
      <c r="K11">
        <f>+J11+$J$7-$M$8</f>
        <v>3</v>
      </c>
      <c r="L11">
        <f>+K11-J11</f>
        <v>2</v>
      </c>
      <c r="M11" t="str">
        <f>+_xlfn.CONCAT("[",J11," , ",ROUND(K11,0),")")</f>
        <v>[1 , 3)</v>
      </c>
      <c r="N11" cm="1">
        <f t="array" ref="N11">SUMPRODUCT((C3:C17&gt;=J11)*(C3:C17&lt;K11))</f>
        <v>3</v>
      </c>
    </row>
    <row r="12" spans="2:14" x14ac:dyDescent="0.25">
      <c r="B12" s="1">
        <v>10</v>
      </c>
      <c r="C12" s="1">
        <v>9</v>
      </c>
      <c r="I12" t="s">
        <v>58</v>
      </c>
      <c r="J12">
        <f>+J11+$J$7</f>
        <v>3</v>
      </c>
      <c r="K12">
        <f t="shared" ref="K12:K15" si="0">+J12+$J$7-$M$8</f>
        <v>5</v>
      </c>
      <c r="L12">
        <f t="shared" ref="L12:L18" si="1">+K12-J12</f>
        <v>2</v>
      </c>
      <c r="M12" t="str">
        <f t="shared" ref="M12:M14" si="2">+_xlfn.CONCAT("[",J12," , ",ROUND(K12,0),")")</f>
        <v>[3 , 5)</v>
      </c>
      <c r="N12" cm="1">
        <f t="array" ref="N12">SUMPRODUCT((C4:C18&gt;=J12)*(C4:C18&lt;K12))</f>
        <v>5</v>
      </c>
    </row>
    <row r="13" spans="2:14" x14ac:dyDescent="0.25">
      <c r="B13" s="1">
        <v>11</v>
      </c>
      <c r="C13" s="1">
        <v>6</v>
      </c>
      <c r="I13" t="s">
        <v>59</v>
      </c>
      <c r="J13">
        <f t="shared" ref="J13:J15" si="3">+J12+$J$7</f>
        <v>5</v>
      </c>
      <c r="K13">
        <f t="shared" si="0"/>
        <v>7</v>
      </c>
      <c r="L13">
        <f t="shared" si="1"/>
        <v>2</v>
      </c>
      <c r="M13" t="str">
        <f t="shared" si="2"/>
        <v>[5 , 7)</v>
      </c>
      <c r="N13" cm="1">
        <f t="array" ref="N13">SUMPRODUCT((C5:C19&gt;=J13)*(C5:C19&lt;K13))</f>
        <v>4</v>
      </c>
    </row>
    <row r="14" spans="2:14" x14ac:dyDescent="0.25">
      <c r="B14" s="1">
        <v>12</v>
      </c>
      <c r="C14" s="1">
        <v>4</v>
      </c>
      <c r="I14" t="s">
        <v>60</v>
      </c>
      <c r="J14">
        <f t="shared" si="3"/>
        <v>7</v>
      </c>
      <c r="K14">
        <f t="shared" si="0"/>
        <v>9</v>
      </c>
      <c r="L14">
        <f t="shared" si="1"/>
        <v>2</v>
      </c>
      <c r="M14" t="str">
        <f t="shared" si="2"/>
        <v>[7 , 9)</v>
      </c>
      <c r="N14" cm="1">
        <f t="array" ref="N14">SUMPRODUCT((C6:C20&gt;=J14)*(C6:C20&lt;K14))</f>
        <v>1</v>
      </c>
    </row>
    <row r="15" spans="2:14" x14ac:dyDescent="0.25">
      <c r="B15" s="1">
        <v>13</v>
      </c>
      <c r="C15" s="1">
        <v>8</v>
      </c>
      <c r="I15" t="s">
        <v>61</v>
      </c>
      <c r="J15">
        <f t="shared" si="3"/>
        <v>9</v>
      </c>
      <c r="K15">
        <f t="shared" si="0"/>
        <v>11</v>
      </c>
      <c r="L15">
        <f t="shared" si="1"/>
        <v>2</v>
      </c>
      <c r="M15" t="str">
        <f>+_xlfn.CONCAT("[",J15," , ",ROUND(K15,0),"]")</f>
        <v>[9 , 11]</v>
      </c>
      <c r="N15" cm="1">
        <f t="array" ref="N15">SUMPRODUCT((C7:C21&gt;=J15)*(C7:C21&lt;=K15))</f>
        <v>2</v>
      </c>
    </row>
    <row r="16" spans="2:14" x14ac:dyDescent="0.25">
      <c r="B16" s="1">
        <v>14</v>
      </c>
      <c r="C16" s="1">
        <v>3</v>
      </c>
    </row>
    <row r="17" spans="2:14" x14ac:dyDescent="0.25">
      <c r="B17" s="8">
        <v>15</v>
      </c>
      <c r="C17" s="8">
        <v>6</v>
      </c>
      <c r="N17">
        <f>+SUM(N11:N15)</f>
        <v>15</v>
      </c>
    </row>
    <row r="18" spans="2:14" x14ac:dyDescent="0.25">
      <c r="B18" s="1"/>
    </row>
    <row r="19" spans="2:14" x14ac:dyDescent="0.25">
      <c r="B19" s="37" t="s">
        <v>42</v>
      </c>
      <c r="C19" s="37"/>
    </row>
    <row r="20" spans="2:14" x14ac:dyDescent="0.25">
      <c r="B20" s="37"/>
      <c r="C20" s="37"/>
    </row>
    <row r="21" spans="2:14" x14ac:dyDescent="0.25">
      <c r="B21" s="37"/>
      <c r="C21" s="37"/>
    </row>
    <row r="22" spans="2:14" x14ac:dyDescent="0.25">
      <c r="B22" s="37" t="s">
        <v>43</v>
      </c>
      <c r="C22" s="37"/>
    </row>
    <row r="23" spans="2:14" x14ac:dyDescent="0.25">
      <c r="B23" s="37"/>
      <c r="C23" s="37"/>
    </row>
    <row r="24" spans="2:14" x14ac:dyDescent="0.25">
      <c r="B24" s="37"/>
      <c r="C24" s="37"/>
    </row>
    <row r="25" spans="2:14" x14ac:dyDescent="0.25">
      <c r="B25" s="37" t="s">
        <v>50</v>
      </c>
      <c r="C25" s="37"/>
    </row>
    <row r="26" spans="2:14" x14ac:dyDescent="0.25">
      <c r="B26" s="37"/>
      <c r="C26" s="37"/>
    </row>
    <row r="27" spans="2:14" x14ac:dyDescent="0.25">
      <c r="B27" s="37"/>
      <c r="C27" s="37"/>
    </row>
  </sheetData>
  <mergeCells count="3">
    <mergeCell ref="B19:C21"/>
    <mergeCell ref="B22:C24"/>
    <mergeCell ref="B25:C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data_gen</vt:lpstr>
      <vt:lpstr>Summary Stats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Urbina Henríquez</dc:creator>
  <cp:lastModifiedBy>Ignacio Urbina Henríquez</cp:lastModifiedBy>
  <dcterms:created xsi:type="dcterms:W3CDTF">2025-02-13T14:45:47Z</dcterms:created>
  <dcterms:modified xsi:type="dcterms:W3CDTF">2025-02-13T21:17:53Z</dcterms:modified>
</cp:coreProperties>
</file>