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ыборка А" sheetId="1" r:id="rId4"/>
    <sheet state="visible" name="Выборка Б" sheetId="2" r:id="rId5"/>
  </sheets>
  <definedNames/>
  <calcPr/>
</workbook>
</file>

<file path=xl/sharedStrings.xml><?xml version="1.0" encoding="utf-8"?>
<sst xmlns="http://schemas.openxmlformats.org/spreadsheetml/2006/main" count="116" uniqueCount="68">
  <si>
    <t>Макс.</t>
  </si>
  <si>
    <t>xi</t>
  </si>
  <si>
    <t>Ni</t>
  </si>
  <si>
    <t>Wi</t>
  </si>
  <si>
    <t>F(x)</t>
  </si>
  <si>
    <t>Теоретическое</t>
  </si>
  <si>
    <t>Мин.</t>
  </si>
  <si>
    <t>Эмпирическое</t>
  </si>
  <si>
    <t>Размах</t>
  </si>
  <si>
    <t>Мода</t>
  </si>
  <si>
    <t>Медиана</t>
  </si>
  <si>
    <t>Асимметрия</t>
  </si>
  <si>
    <t>Эксцесс</t>
  </si>
  <si>
    <t>∑</t>
  </si>
  <si>
    <t>Начальные моменты</t>
  </si>
  <si>
    <t>Центральные моменты</t>
  </si>
  <si>
    <t>1-го порядка</t>
  </si>
  <si>
    <t>Распределение Пуассона</t>
  </si>
  <si>
    <t>2-го порядка</t>
  </si>
  <si>
    <t>Лямбда</t>
  </si>
  <si>
    <t>(Оценка параметра лямбда методом моментов)</t>
  </si>
  <si>
    <t>3-го порядка</t>
  </si>
  <si>
    <t>4-го порядка</t>
  </si>
  <si>
    <t>Выборка А1</t>
  </si>
  <si>
    <t>Выборка А2</t>
  </si>
  <si>
    <t>Равенство дисперсий</t>
  </si>
  <si>
    <t>s^2</t>
  </si>
  <si>
    <t>Среднее</t>
  </si>
  <si>
    <t>Fнабл</t>
  </si>
  <si>
    <t>Fкр</t>
  </si>
  <si>
    <t>Доверительный интервал</t>
  </si>
  <si>
    <t>Квантиль нормального распределения</t>
  </si>
  <si>
    <t>Дисперсия</t>
  </si>
  <si>
    <t>наблюдаемое</t>
  </si>
  <si>
    <t>критическое</t>
  </si>
  <si>
    <t>Ni*</t>
  </si>
  <si>
    <t>Wi*</t>
  </si>
  <si>
    <t>F*(x)</t>
  </si>
  <si>
    <t>расчет хи-квадрат</t>
  </si>
  <si>
    <t>Хи-квадрат</t>
  </si>
  <si>
    <t>наблюдаемый</t>
  </si>
  <si>
    <t>по таблице</t>
  </si>
  <si>
    <t>Средние не равны</t>
  </si>
  <si>
    <t>Не отвергаем гипотезу о пуассоновском распределении выборки</t>
  </si>
  <si>
    <t>Оптимальное количество интервалов</t>
  </si>
  <si>
    <t>Длина интервала</t>
  </si>
  <si>
    <t>Интервалы</t>
  </si>
  <si>
    <t>i</t>
  </si>
  <si>
    <t>от</t>
  </si>
  <si>
    <t>до</t>
  </si>
  <si>
    <t>сред.</t>
  </si>
  <si>
    <t>Кумулята</t>
  </si>
  <si>
    <t>Нормальное распределение</t>
  </si>
  <si>
    <t>n</t>
  </si>
  <si>
    <t>Мю</t>
  </si>
  <si>
    <t>Сигма квадрат</t>
  </si>
  <si>
    <t>(Оценка параметров мю и сигма квадрат методом моментов)</t>
  </si>
  <si>
    <t>Критерий Колмогорова</t>
  </si>
  <si>
    <t>Не отвергаем гипотезу о нормальном распределении выборки</t>
  </si>
  <si>
    <t>Коэффициент Стьюдента</t>
  </si>
  <si>
    <r>
      <rPr>
        <rFont val="Arial"/>
        <b/>
        <color theme="1"/>
        <sz val="12.0"/>
      </rPr>
      <t>Доверительный интервал</t>
    </r>
    <r>
      <rPr>
        <rFont val="Arial"/>
        <b/>
        <color theme="1"/>
        <sz val="10.0"/>
      </rPr>
      <t xml:space="preserve"> </t>
    </r>
    <r>
      <rPr>
        <rFont val="Arial"/>
        <b val="0"/>
        <color theme="1"/>
        <sz val="10.0"/>
      </rPr>
      <t>мю</t>
    </r>
  </si>
  <si>
    <r>
      <rPr>
        <rFont val="Arial"/>
        <b/>
        <color theme="1"/>
        <sz val="12.0"/>
      </rPr>
      <t>Доверительный интервал</t>
    </r>
    <r>
      <rPr>
        <rFont val="Arial"/>
        <color theme="1"/>
      </rPr>
      <t xml:space="preserve"> сигма</t>
    </r>
  </si>
  <si>
    <t>Выборка Б1</t>
  </si>
  <si>
    <t>Выборка Б2</t>
  </si>
  <si>
    <t>zi</t>
  </si>
  <si>
    <t>f(zi)</t>
  </si>
  <si>
    <t>Кумулята*</t>
  </si>
  <si>
    <t>Расчет критерия Колмогорова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</si>
</sst>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sz val="10.0"/>
      <color rgb="FF000000"/>
      <name val="Arial"/>
    </font>
    <font>
      <sz val="11.0"/>
      <color rgb="FF1F1F1F"/>
      <name val="Arial"/>
    </font>
    <font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1" fillId="0" fontId="2" numFmtId="0" xfId="0" applyBorder="1" applyFont="1"/>
    <xf borderId="1" fillId="0" fontId="1" numFmtId="0" xfId="0" applyBorder="1" applyFont="1"/>
    <xf borderId="2" fillId="0" fontId="2" numFmtId="0" xfId="0" applyBorder="1" applyFont="1"/>
    <xf borderId="0" fillId="4" fontId="1" numFmtId="0" xfId="0" applyFill="1" applyFont="1"/>
    <xf borderId="0" fillId="0" fontId="1" numFmtId="0" xfId="0" applyFont="1"/>
    <xf borderId="3" fillId="0" fontId="1" numFmtId="0" xfId="0" applyBorder="1" applyFont="1"/>
    <xf borderId="3" fillId="0" fontId="1" numFmtId="4" xfId="0" applyBorder="1" applyFont="1" applyNumberFormat="1"/>
    <xf borderId="0" fillId="5" fontId="1" numFmtId="0" xfId="0" applyFill="1" applyFont="1"/>
    <xf borderId="1" fillId="0" fontId="1" numFmtId="4" xfId="0" applyBorder="1" applyFont="1" applyNumberFormat="1"/>
    <xf borderId="4" fillId="0" fontId="2" numFmtId="0" xfId="0" applyBorder="1" applyFont="1"/>
    <xf borderId="5" fillId="0" fontId="3" numFmtId="0" xfId="0" applyBorder="1" applyFont="1"/>
    <xf borderId="0" fillId="0" fontId="2" numFmtId="0" xfId="0" applyFont="1"/>
    <xf borderId="1" fillId="6" fontId="4" numFmtId="0" xfId="0" applyBorder="1" applyFill="1" applyFont="1"/>
    <xf borderId="0" fillId="6" fontId="5" numFmtId="0" xfId="0" applyFont="1"/>
    <xf borderId="0" fillId="6" fontId="1" numFmtId="0" xfId="0" applyFont="1"/>
    <xf borderId="1" fillId="6" fontId="1" numFmtId="0" xfId="0" applyBorder="1" applyFont="1"/>
    <xf borderId="1" fillId="2" fontId="6" numFmtId="0" xfId="0" applyAlignment="1" applyBorder="1" applyFont="1">
      <alignment horizontal="left"/>
    </xf>
    <xf borderId="1" fillId="3" fontId="6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6" fontId="4" numFmtId="0" xfId="0" applyAlignment="1" applyBorder="1" applyFont="1">
      <alignment horizontal="right"/>
    </xf>
    <xf borderId="0" fillId="6" fontId="8" numFmtId="0" xfId="0" applyAlignment="1" applyFont="1">
      <alignment horizontal="left" readingOrder="0"/>
    </xf>
    <xf borderId="0" fillId="0" fontId="7" numFmtId="0" xfId="0" applyFont="1"/>
    <xf borderId="6" fillId="0" fontId="2" numFmtId="0" xfId="0" applyBorder="1" applyFont="1"/>
    <xf borderId="7" fillId="0" fontId="3" numFmtId="0" xfId="0" applyBorder="1" applyFont="1"/>
    <xf borderId="0" fillId="0" fontId="1" numFmtId="0" xfId="0" applyAlignment="1" applyFont="1">
      <alignment readingOrder="0"/>
    </xf>
    <xf borderId="0" fillId="6" fontId="6" numFmtId="0" xfId="0" applyAlignment="1" applyFont="1">
      <alignment horizontal="right" readingOrder="0"/>
    </xf>
    <xf borderId="2" fillId="0" fontId="9" numFmtId="0" xfId="0" applyBorder="1" applyFont="1"/>
    <xf borderId="2" fillId="0" fontId="1" numFmtId="0" xfId="0" applyBorder="1" applyFont="1"/>
    <xf borderId="4" fillId="0" fontId="2" numFmtId="0" xfId="0" applyAlignment="1" applyBorder="1" applyFont="1">
      <alignment vertical="bottom"/>
    </xf>
    <xf borderId="8" fillId="0" fontId="3" numFmtId="0" xfId="0" applyBorder="1" applyFont="1"/>
    <xf borderId="1" fillId="6" fontId="8" numFmtId="0" xfId="0" applyAlignment="1" applyBorder="1" applyFont="1">
      <alignment horizontal="left"/>
    </xf>
    <xf borderId="1" fillId="0" fontId="1" numFmtId="0" xfId="0" applyAlignment="1" applyBorder="1" applyFont="1">
      <alignment vertical="bottom"/>
    </xf>
    <xf borderId="1" fillId="0" fontId="9" numFmtId="0" xfId="0" applyBorder="1" applyFont="1"/>
    <xf borderId="9" fillId="0" fontId="3" numFmtId="0" xfId="0" applyBorder="1" applyFont="1"/>
    <xf borderId="3" fillId="0" fontId="1" numFmtId="0" xfId="0" applyAlignment="1" applyBorder="1" applyFont="1">
      <alignment readingOrder="0"/>
    </xf>
    <xf borderId="1" fillId="6" fontId="8" numFmtId="0" xfId="0" applyBorder="1" applyFont="1"/>
    <xf borderId="6" fillId="0" fontId="1" numFmtId="0" xfId="0" applyBorder="1" applyFont="1"/>
    <xf borderId="1" fillId="3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Полигон ряда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'Выборка А'!$D$8:$D$14</c:f>
            </c:strRef>
          </c:cat>
          <c:val>
            <c:numRef>
              <c:f>'Выборка А'!$F$8:$F$14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'Выборка А'!$D$8:$D$14</c:f>
            </c:strRef>
          </c:cat>
          <c:val>
            <c:numRef>
              <c:f>'Выборка А'!$L$31:$L$37</c:f>
              <c:numCache/>
            </c:numRef>
          </c:val>
          <c:smooth val="0"/>
        </c:ser>
        <c:axId val="856794681"/>
        <c:axId val="1316995527"/>
      </c:lineChart>
      <c:catAx>
        <c:axId val="8567946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316995527"/>
      </c:catAx>
      <c:valAx>
        <c:axId val="13169955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5679468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Эмпирическая функция распределения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А'!$G$8:$G$15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'Выборка А'!$M$31:$M$38</c:f>
              <c:numCache/>
            </c:numRef>
          </c:val>
        </c:ser>
        <c:axId val="584127831"/>
        <c:axId val="5778735"/>
      </c:areaChart>
      <c:catAx>
        <c:axId val="5841278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778735"/>
      </c:catAx>
      <c:valAx>
        <c:axId val="57787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8412783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Эмпирическая функция распределения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Б'!$P$24:$P$33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'Выборка Б'!$S$54:$S$63</c:f>
              <c:numCache/>
            </c:numRef>
          </c:val>
        </c:ser>
        <c:axId val="944249262"/>
        <c:axId val="803495021"/>
      </c:areaChart>
      <c:catAx>
        <c:axId val="9442492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803495021"/>
      </c:catAx>
      <c:valAx>
        <c:axId val="8034950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44249262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Кумулята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val>
            <c:numRef>
              <c:f>'Выборка Б'!$Q$24:$Q$32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val>
            <c:numRef>
              <c:f>'Выборка Б'!$T$54:$T$62</c:f>
              <c:numCache/>
            </c:numRef>
          </c:val>
        </c:ser>
        <c:axId val="980306105"/>
        <c:axId val="1529148462"/>
      </c:areaChart>
      <c:catAx>
        <c:axId val="980306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529148462"/>
      </c:catAx>
      <c:valAx>
        <c:axId val="1529148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8030610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952500</xdr:colOff>
      <xdr:row>6</xdr:row>
      <xdr:rowOff>0</xdr:rowOff>
    </xdr:from>
    <xdr:ext cx="3829050" cy="23717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933450</xdr:colOff>
      <xdr:row>6</xdr:row>
      <xdr:rowOff>0</xdr:rowOff>
    </xdr:from>
    <xdr:ext cx="3829050" cy="23717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676275</xdr:colOff>
      <xdr:row>26</xdr:row>
      <xdr:rowOff>38100</xdr:rowOff>
    </xdr:from>
    <xdr:ext cx="3895725" cy="22479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38100</xdr:rowOff>
    </xdr:from>
    <xdr:ext cx="3629025" cy="22479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6" width="12.63"/>
    <col customWidth="1" min="10" max="10" width="14.13"/>
  </cols>
  <sheetData>
    <row r="1" ht="15.75" customHeight="1">
      <c r="A1" s="1">
        <v>0.0</v>
      </c>
      <c r="B1" s="1">
        <v>4.0</v>
      </c>
      <c r="C1" s="1">
        <v>2.0</v>
      </c>
      <c r="D1" s="1">
        <v>0.0</v>
      </c>
      <c r="E1" s="1">
        <v>5.0</v>
      </c>
      <c r="F1" s="1">
        <v>1.0</v>
      </c>
      <c r="G1" s="1">
        <v>1.0</v>
      </c>
      <c r="H1" s="1">
        <v>3.0</v>
      </c>
      <c r="I1" s="1">
        <v>0.0</v>
      </c>
      <c r="J1" s="2">
        <v>2.0</v>
      </c>
      <c r="K1" s="2">
        <v>2.0</v>
      </c>
      <c r="L1" s="2">
        <v>4.0</v>
      </c>
      <c r="M1" s="2">
        <v>3.0</v>
      </c>
      <c r="N1" s="2">
        <v>2.0</v>
      </c>
      <c r="O1" s="2">
        <v>3.0</v>
      </c>
      <c r="P1" s="2">
        <v>3.0</v>
      </c>
      <c r="Q1" s="2">
        <v>0.0</v>
      </c>
      <c r="R1" s="2">
        <v>4.0</v>
      </c>
      <c r="S1" s="2">
        <v>5.0</v>
      </c>
      <c r="T1" s="2">
        <v>1.0</v>
      </c>
    </row>
    <row r="2" ht="15.75" customHeight="1">
      <c r="A2" s="1">
        <v>3.0</v>
      </c>
      <c r="B2" s="1">
        <v>1.0</v>
      </c>
      <c r="C2" s="1">
        <v>5.0</v>
      </c>
      <c r="D2" s="1">
        <v>2.0</v>
      </c>
      <c r="E2" s="1">
        <v>0.0</v>
      </c>
      <c r="F2" s="1">
        <v>2.0</v>
      </c>
      <c r="G2" s="1">
        <v>2.0</v>
      </c>
      <c r="H2" s="1">
        <v>3.0</v>
      </c>
      <c r="I2" s="1">
        <v>2.0</v>
      </c>
      <c r="J2" s="2">
        <v>2.0</v>
      </c>
      <c r="K2" s="2">
        <v>2.0</v>
      </c>
      <c r="L2" s="2">
        <v>6.0</v>
      </c>
      <c r="M2" s="2">
        <v>2.0</v>
      </c>
      <c r="N2" s="2">
        <v>1.0</v>
      </c>
      <c r="O2" s="2">
        <v>3.0</v>
      </c>
      <c r="P2" s="2">
        <v>1.0</v>
      </c>
      <c r="Q2" s="2">
        <v>3.0</v>
      </c>
      <c r="R2" s="2">
        <v>1.0</v>
      </c>
      <c r="S2" s="2">
        <v>5.0</v>
      </c>
      <c r="T2" s="2">
        <v>4.0</v>
      </c>
    </row>
    <row r="3" ht="15.75" customHeight="1">
      <c r="A3" s="1">
        <v>5.0</v>
      </c>
      <c r="B3" s="1">
        <v>5.0</v>
      </c>
      <c r="C3" s="1">
        <v>3.0</v>
      </c>
      <c r="D3" s="1">
        <v>2.0</v>
      </c>
      <c r="E3" s="1">
        <v>2.0</v>
      </c>
      <c r="F3" s="1">
        <v>0.0</v>
      </c>
      <c r="G3" s="1">
        <v>2.0</v>
      </c>
      <c r="H3" s="1">
        <v>1.0</v>
      </c>
      <c r="I3" s="1">
        <v>1.0</v>
      </c>
      <c r="J3" s="2">
        <v>3.0</v>
      </c>
      <c r="K3" s="2">
        <v>2.0</v>
      </c>
      <c r="L3" s="2">
        <v>3.0</v>
      </c>
      <c r="M3" s="2">
        <v>5.0</v>
      </c>
      <c r="N3" s="2">
        <v>3.0</v>
      </c>
      <c r="O3" s="2">
        <v>5.0</v>
      </c>
      <c r="P3" s="2">
        <v>2.0</v>
      </c>
      <c r="Q3" s="2">
        <v>5.0</v>
      </c>
      <c r="R3" s="2">
        <v>2.0</v>
      </c>
      <c r="S3" s="2">
        <v>1.0</v>
      </c>
      <c r="T3" s="2">
        <v>1.0</v>
      </c>
    </row>
    <row r="4" ht="15.75" customHeight="1">
      <c r="A4" s="1">
        <v>2.0</v>
      </c>
      <c r="B4" s="1">
        <v>3.0</v>
      </c>
      <c r="C4" s="1">
        <v>4.0</v>
      </c>
      <c r="D4" s="1">
        <v>3.0</v>
      </c>
      <c r="E4" s="1">
        <v>2.0</v>
      </c>
      <c r="F4" s="1">
        <v>3.0</v>
      </c>
      <c r="G4" s="1">
        <v>2.0</v>
      </c>
      <c r="H4" s="1">
        <v>4.0</v>
      </c>
      <c r="I4" s="1">
        <v>2.0</v>
      </c>
    </row>
    <row r="5" ht="15.75" customHeight="1"/>
    <row r="6" ht="15.75" customHeight="1"/>
    <row r="7" ht="15.75" customHeight="1">
      <c r="A7" s="3" t="s">
        <v>0</v>
      </c>
      <c r="B7" s="4">
        <f>MAX(A1:T4)</f>
        <v>6</v>
      </c>
      <c r="D7" s="5" t="s">
        <v>1</v>
      </c>
      <c r="E7" s="5" t="s">
        <v>2</v>
      </c>
      <c r="F7" s="5" t="s">
        <v>3</v>
      </c>
      <c r="G7" s="5" t="s">
        <v>4</v>
      </c>
      <c r="Q7" s="6"/>
      <c r="R7" s="7" t="s">
        <v>5</v>
      </c>
    </row>
    <row r="8" ht="15.75" customHeight="1">
      <c r="A8" s="3" t="s">
        <v>6</v>
      </c>
      <c r="B8" s="4">
        <f>MIN(A1:T4)</f>
        <v>0</v>
      </c>
      <c r="D8" s="8">
        <v>0.0</v>
      </c>
      <c r="E8" s="8">
        <f t="shared" ref="E8:E14" si="1">COUNTIF($A$1:$T$4,D8)</f>
        <v>6</v>
      </c>
      <c r="F8" s="9">
        <f t="shared" ref="F8:F14" si="2">ROUND(E8/$E$16,2)</f>
        <v>0.09</v>
      </c>
      <c r="G8" s="8">
        <v>0.0</v>
      </c>
      <c r="Q8" s="10"/>
      <c r="R8" s="7" t="s">
        <v>7</v>
      </c>
    </row>
    <row r="9" ht="15.75" customHeight="1">
      <c r="A9" s="3" t="s">
        <v>8</v>
      </c>
      <c r="B9" s="4">
        <f>B7-B8</f>
        <v>6</v>
      </c>
      <c r="D9" s="4">
        <v>1.0</v>
      </c>
      <c r="E9" s="4">
        <f t="shared" si="1"/>
        <v>11</v>
      </c>
      <c r="F9" s="9">
        <f t="shared" si="2"/>
        <v>0.16</v>
      </c>
      <c r="G9" s="11">
        <f t="shared" ref="G9:G15" si="3">G8+F8</f>
        <v>0.09</v>
      </c>
    </row>
    <row r="10" ht="15.75" customHeight="1">
      <c r="D10" s="4">
        <v>2.0</v>
      </c>
      <c r="E10" s="4">
        <f t="shared" si="1"/>
        <v>21</v>
      </c>
      <c r="F10" s="9">
        <f t="shared" si="2"/>
        <v>0.3</v>
      </c>
      <c r="G10" s="11">
        <f t="shared" si="3"/>
        <v>0.25</v>
      </c>
    </row>
    <row r="11" ht="15.75" customHeight="1">
      <c r="A11" s="3" t="s">
        <v>9</v>
      </c>
      <c r="B11" s="4">
        <f>MODE(A1:T4)</f>
        <v>2</v>
      </c>
      <c r="D11" s="4">
        <v>3.0</v>
      </c>
      <c r="E11" s="4">
        <f t="shared" si="1"/>
        <v>15</v>
      </c>
      <c r="F11" s="9">
        <f t="shared" si="2"/>
        <v>0.22</v>
      </c>
      <c r="G11" s="11">
        <f t="shared" si="3"/>
        <v>0.55</v>
      </c>
    </row>
    <row r="12" ht="15.75" customHeight="1">
      <c r="A12" s="3" t="s">
        <v>10</v>
      </c>
      <c r="B12" s="4">
        <f>MEDIAN(A1:T4)</f>
        <v>2</v>
      </c>
      <c r="D12" s="4">
        <v>4.0</v>
      </c>
      <c r="E12" s="4">
        <f t="shared" si="1"/>
        <v>6</v>
      </c>
      <c r="F12" s="9">
        <f t="shared" si="2"/>
        <v>0.09</v>
      </c>
      <c r="G12" s="11">
        <f t="shared" si="3"/>
        <v>0.77</v>
      </c>
    </row>
    <row r="13" ht="15.75" customHeight="1">
      <c r="A13" s="3" t="s">
        <v>11</v>
      </c>
      <c r="B13" s="4">
        <f>ROUND(SKEW(A1:T4),2)</f>
        <v>0.31</v>
      </c>
      <c r="D13" s="4">
        <v>5.0</v>
      </c>
      <c r="E13" s="4">
        <f t="shared" si="1"/>
        <v>9</v>
      </c>
      <c r="F13" s="9">
        <f t="shared" si="2"/>
        <v>0.13</v>
      </c>
      <c r="G13" s="11">
        <f t="shared" si="3"/>
        <v>0.86</v>
      </c>
    </row>
    <row r="14" ht="15.75" customHeight="1">
      <c r="A14" s="3" t="s">
        <v>12</v>
      </c>
      <c r="B14" s="4">
        <f>ROUND(KURT(A1:T4),2)</f>
        <v>-0.54</v>
      </c>
      <c r="D14" s="4">
        <v>6.0</v>
      </c>
      <c r="E14" s="4">
        <f t="shared" si="1"/>
        <v>1</v>
      </c>
      <c r="F14" s="9">
        <f t="shared" si="2"/>
        <v>0.01</v>
      </c>
      <c r="G14" s="11">
        <f t="shared" si="3"/>
        <v>0.99</v>
      </c>
    </row>
    <row r="15" ht="15.75" customHeight="1">
      <c r="D15" s="4"/>
      <c r="E15" s="4"/>
      <c r="F15" s="4"/>
      <c r="G15" s="11">
        <f t="shared" si="3"/>
        <v>1</v>
      </c>
    </row>
    <row r="16" ht="15.75" customHeight="1">
      <c r="D16" s="4" t="s">
        <v>13</v>
      </c>
      <c r="E16" s="4">
        <f t="shared" ref="E16:F16" si="4">SUM(E8:E14)</f>
        <v>69</v>
      </c>
      <c r="F16" s="11">
        <f t="shared" si="4"/>
        <v>1</v>
      </c>
      <c r="G16" s="4"/>
    </row>
    <row r="17" ht="15.75" customHeight="1"/>
    <row r="18" ht="15.75" customHeight="1">
      <c r="A18" s="12" t="s">
        <v>14</v>
      </c>
      <c r="B18" s="13"/>
      <c r="D18" s="12" t="s">
        <v>15</v>
      </c>
      <c r="E18" s="13"/>
    </row>
    <row r="19" ht="15.75" customHeight="1">
      <c r="A19" s="4" t="s">
        <v>16</v>
      </c>
      <c r="B19" s="4">
        <f>ROUND(SUM(A1:T4)/E16,2)</f>
        <v>2.51</v>
      </c>
      <c r="D19" s="4" t="s">
        <v>16</v>
      </c>
      <c r="E19" s="4">
        <f t="array" ref="E19">ROUND(SUM(A1:I4-B19)/E16 +SUM(J1:T3-B19)/E16,2)</f>
        <v>0</v>
      </c>
      <c r="I19" s="14" t="s">
        <v>17</v>
      </c>
    </row>
    <row r="20" ht="15.75" customHeight="1">
      <c r="A20" s="4" t="s">
        <v>18</v>
      </c>
      <c r="B20" s="4">
        <f t="array" ref="B20">ROUND(SUM(A1:T4^2)/E16,2)</f>
        <v>8.51</v>
      </c>
      <c r="D20" s="4" t="s">
        <v>18</v>
      </c>
      <c r="E20" s="15">
        <f t="array" ref="E20">ROUND((SUM((A1:I4-B19)^2) + SUM((J1:T3-B19)^2))/E16,2)</f>
        <v>2.22</v>
      </c>
      <c r="F20" s="7">
        <f t="array" ref="F20">ROUND((SUM((A1:I4-B19)^2) + SUM((J1:T3-B19)^2))/(E16-1),2)</f>
        <v>2.25</v>
      </c>
      <c r="G20" s="16"/>
      <c r="I20" s="7" t="s">
        <v>19</v>
      </c>
      <c r="J20" s="7" t="s">
        <v>20</v>
      </c>
    </row>
    <row r="21" ht="15.75" customHeight="1">
      <c r="A21" s="4" t="s">
        <v>21</v>
      </c>
      <c r="B21" s="4">
        <f t="array" ref="B21">ROUND(SUM(A1:T4^3)/E16,2)</f>
        <v>33.46</v>
      </c>
      <c r="D21" s="4" t="s">
        <v>21</v>
      </c>
      <c r="E21" s="4">
        <f t="array" ref="E21">ROUND((SUM((A1:I4-B19)^3) + SUM((J1:T3-B19)^3))/E16,2)</f>
        <v>0.98</v>
      </c>
      <c r="I21" s="7">
        <f>B19</f>
        <v>2.51</v>
      </c>
    </row>
    <row r="22" ht="15.75" customHeight="1">
      <c r="A22" s="4" t="s">
        <v>22</v>
      </c>
      <c r="B22" s="4">
        <f t="array" ref="B22">ROUND(SUM(A1:T4^4)/E16,2)</f>
        <v>145.2</v>
      </c>
      <c r="D22" s="4" t="s">
        <v>22</v>
      </c>
      <c r="E22" s="4">
        <f t="array" ref="E22">ROUND((SUM((A1:I4-B19)^4) + SUM((J1:T3-B19)^4))/E16,2)</f>
        <v>11.91</v>
      </c>
    </row>
    <row r="23" ht="15.75" customHeight="1">
      <c r="I23" s="7"/>
      <c r="J23" s="7"/>
      <c r="K23" s="7"/>
      <c r="L23" s="7"/>
      <c r="M23" s="7"/>
      <c r="N23" s="7"/>
    </row>
    <row r="24" ht="15.75" customHeight="1">
      <c r="I24" s="7"/>
      <c r="J24" s="7"/>
      <c r="K24" s="7"/>
      <c r="L24" s="7"/>
      <c r="M24" s="7"/>
      <c r="N24" s="7"/>
    </row>
    <row r="25" ht="15.75" customHeight="1">
      <c r="A25" s="17"/>
    </row>
    <row r="26" ht="15.75" customHeight="1">
      <c r="A26" s="18"/>
      <c r="B26" s="19" t="s">
        <v>23</v>
      </c>
      <c r="C26" s="20" t="s">
        <v>24</v>
      </c>
      <c r="D26" s="21" t="s">
        <v>25</v>
      </c>
      <c r="F26" s="21" t="s">
        <v>26</v>
      </c>
    </row>
    <row r="27" ht="15.75" customHeight="1">
      <c r="A27" s="4" t="s">
        <v>27</v>
      </c>
      <c r="B27" s="22">
        <f>ROUND(SUM(A1:I4)/COUNT(A1:I4),2)</f>
        <v>2.28</v>
      </c>
      <c r="C27" s="22">
        <f>ROUND(SUM(J1:T3)/COUNT(J1:T3),2)</f>
        <v>2.76</v>
      </c>
      <c r="D27" s="23" t="s">
        <v>28</v>
      </c>
      <c r="E27" s="21" t="s">
        <v>29</v>
      </c>
      <c r="F27" s="24">
        <f>ROUND(((36-1)*B28+(33-1)*C28)/(36+33-2),2)</f>
        <v>2.23</v>
      </c>
      <c r="I27" s="25" t="s">
        <v>30</v>
      </c>
      <c r="J27" s="26"/>
      <c r="L27" s="27" t="s">
        <v>31</v>
      </c>
    </row>
    <row r="28" ht="15.75" customHeight="1">
      <c r="A28" s="4" t="s">
        <v>32</v>
      </c>
      <c r="B28" s="15">
        <f t="array" ref="B28">ROUND(SUM((A1:I4-B27)^2)/(COUNT(A1:I4)-1),2)</f>
        <v>2.21</v>
      </c>
      <c r="C28" s="4">
        <f t="array" ref="C28">ROUND(SUM((J1:T3-C27)^2)/(COUNT(J1:T3)-1),2)</f>
        <v>2.25</v>
      </c>
      <c r="D28" s="24">
        <f>ROUND(C28/B28,2)</f>
        <v>1.02</v>
      </c>
      <c r="E28" s="24">
        <f>ROUND(_xlfn.F.INV(0.05,36-1,33-1),2)</f>
        <v>0.56</v>
      </c>
      <c r="I28" s="8">
        <f>ROUND(I21-SQRT(I21)/SQRT(E16)*L28,2)</f>
        <v>2.14</v>
      </c>
      <c r="J28" s="8">
        <f>ROUND(I21+SQRT(I21)/SQRT(E16)*L28,2)</f>
        <v>2.88</v>
      </c>
      <c r="L28" s="28">
        <v>1.96</v>
      </c>
    </row>
    <row r="29" ht="15.75" customHeight="1">
      <c r="F29" s="7"/>
    </row>
    <row r="30" ht="15.75" customHeight="1">
      <c r="A30" s="7" t="s">
        <v>33</v>
      </c>
      <c r="B30" s="7" t="s">
        <v>34</v>
      </c>
      <c r="I30" s="5" t="s">
        <v>1</v>
      </c>
      <c r="J30" s="5" t="s">
        <v>2</v>
      </c>
      <c r="K30" s="5" t="s">
        <v>35</v>
      </c>
      <c r="L30" s="5" t="s">
        <v>36</v>
      </c>
      <c r="M30" s="5" t="s">
        <v>37</v>
      </c>
      <c r="N30" s="5" t="s">
        <v>38</v>
      </c>
      <c r="P30" s="29" t="s">
        <v>39</v>
      </c>
      <c r="Q30" s="30"/>
    </row>
    <row r="31" ht="15.75" customHeight="1">
      <c r="A31" s="7">
        <f>ROUND((C27-B27)/((SQRT(F27)*SQRT((1/36+1/33)))),2)</f>
        <v>1.33</v>
      </c>
      <c r="B31" s="7">
        <f>ROUND(_xlfn.T.INV(0.05, 36+33-2),2)</f>
        <v>-1.67</v>
      </c>
      <c r="I31" s="8">
        <v>0.0</v>
      </c>
      <c r="J31" s="8">
        <f t="shared" ref="J31:J37" si="5">E8</f>
        <v>6</v>
      </c>
      <c r="K31" s="8">
        <f t="shared" ref="K31:K37" si="6">ROUND(POISSON(I31,$I$21,)*$E$16,0)</f>
        <v>6</v>
      </c>
      <c r="L31" s="8">
        <f t="shared" ref="L31:L37" si="7">ROUND(K31/$E$16,2)</f>
        <v>0.09</v>
      </c>
      <c r="M31" s="8">
        <v>0.0</v>
      </c>
      <c r="N31" s="8">
        <f t="shared" ref="N31:N37" si="8">(J31-K31)^2/K31</f>
        <v>0</v>
      </c>
      <c r="P31" s="30" t="s">
        <v>40</v>
      </c>
      <c r="Q31" s="30" t="s">
        <v>41</v>
      </c>
    </row>
    <row r="32" ht="15.75" customHeight="1">
      <c r="I32" s="4">
        <v>1.0</v>
      </c>
      <c r="J32" s="4">
        <f t="shared" si="5"/>
        <v>11</v>
      </c>
      <c r="K32" s="8">
        <f t="shared" si="6"/>
        <v>14</v>
      </c>
      <c r="L32" s="8">
        <f t="shared" si="7"/>
        <v>0.2</v>
      </c>
      <c r="M32" s="4">
        <f t="shared" ref="M32:M38" si="9">M31+L31</f>
        <v>0.09</v>
      </c>
      <c r="N32" s="4">
        <f t="shared" si="8"/>
        <v>0.6428571429</v>
      </c>
      <c r="P32" s="30">
        <f>ROUND(SUM(N31:N37),2)</f>
        <v>5.84</v>
      </c>
      <c r="Q32" s="30">
        <v>12.6</v>
      </c>
    </row>
    <row r="33" ht="15.75" customHeight="1">
      <c r="A33" s="27" t="s">
        <v>42</v>
      </c>
      <c r="I33" s="4">
        <v>2.0</v>
      </c>
      <c r="J33" s="4">
        <f t="shared" si="5"/>
        <v>21</v>
      </c>
      <c r="K33" s="8">
        <f t="shared" si="6"/>
        <v>18</v>
      </c>
      <c r="L33" s="8">
        <f t="shared" si="7"/>
        <v>0.26</v>
      </c>
      <c r="M33" s="4">
        <f t="shared" si="9"/>
        <v>0.29</v>
      </c>
      <c r="N33" s="4">
        <f t="shared" si="8"/>
        <v>0.5</v>
      </c>
    </row>
    <row r="34" ht="15.75" customHeight="1">
      <c r="I34" s="4">
        <v>3.0</v>
      </c>
      <c r="J34" s="4">
        <f t="shared" si="5"/>
        <v>15</v>
      </c>
      <c r="K34" s="8">
        <f t="shared" si="6"/>
        <v>15</v>
      </c>
      <c r="L34" s="8">
        <f t="shared" si="7"/>
        <v>0.22</v>
      </c>
      <c r="M34" s="4">
        <f t="shared" si="9"/>
        <v>0.55</v>
      </c>
      <c r="N34" s="4">
        <f t="shared" si="8"/>
        <v>0</v>
      </c>
      <c r="P34" s="7" t="s">
        <v>43</v>
      </c>
    </row>
    <row r="35" ht="15.75" customHeight="1">
      <c r="I35" s="4">
        <v>4.0</v>
      </c>
      <c r="J35" s="4">
        <f t="shared" si="5"/>
        <v>6</v>
      </c>
      <c r="K35" s="8">
        <f t="shared" si="6"/>
        <v>9</v>
      </c>
      <c r="L35" s="8">
        <f t="shared" si="7"/>
        <v>0.13</v>
      </c>
      <c r="M35" s="4">
        <f t="shared" si="9"/>
        <v>0.77</v>
      </c>
      <c r="N35" s="4">
        <f t="shared" si="8"/>
        <v>1</v>
      </c>
    </row>
    <row r="36" ht="15.75" customHeight="1">
      <c r="I36" s="4">
        <v>5.0</v>
      </c>
      <c r="J36" s="4">
        <f t="shared" si="5"/>
        <v>9</v>
      </c>
      <c r="K36" s="8">
        <f t="shared" si="6"/>
        <v>5</v>
      </c>
      <c r="L36" s="8">
        <f t="shared" si="7"/>
        <v>0.07</v>
      </c>
      <c r="M36" s="4">
        <f t="shared" si="9"/>
        <v>0.9</v>
      </c>
      <c r="N36" s="4">
        <f t="shared" si="8"/>
        <v>3.2</v>
      </c>
    </row>
    <row r="37" ht="15.75" customHeight="1">
      <c r="I37" s="4">
        <v>6.0</v>
      </c>
      <c r="J37" s="4">
        <f t="shared" si="5"/>
        <v>1</v>
      </c>
      <c r="K37" s="8">
        <f t="shared" si="6"/>
        <v>2</v>
      </c>
      <c r="L37" s="8">
        <f t="shared" si="7"/>
        <v>0.03</v>
      </c>
      <c r="M37" s="4">
        <f t="shared" si="9"/>
        <v>0.97</v>
      </c>
      <c r="N37" s="4">
        <f t="shared" si="8"/>
        <v>0.5</v>
      </c>
    </row>
    <row r="38" ht="15.75" customHeight="1">
      <c r="I38" s="4"/>
      <c r="J38" s="4"/>
      <c r="K38" s="4"/>
      <c r="L38" s="4"/>
      <c r="M38" s="4">
        <f t="shared" si="9"/>
        <v>1</v>
      </c>
      <c r="N38" s="4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8:B18"/>
    <mergeCell ref="D18:E18"/>
    <mergeCell ref="I27:J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6" width="12.63"/>
    <col customWidth="1" min="11" max="11" width="20.75"/>
    <col customWidth="1" min="12" max="12" width="14.38"/>
    <col customWidth="1" min="14" max="14" width="22.13"/>
  </cols>
  <sheetData>
    <row r="1" ht="15.75" customHeight="1">
      <c r="A1" s="2">
        <v>135.0</v>
      </c>
      <c r="B1" s="2">
        <v>133.0</v>
      </c>
      <c r="C1" s="2">
        <v>124.0</v>
      </c>
      <c r="D1" s="2">
        <v>132.0</v>
      </c>
      <c r="E1" s="2">
        <v>104.0</v>
      </c>
      <c r="F1" s="2">
        <v>152.0</v>
      </c>
      <c r="G1" s="1">
        <v>134.0</v>
      </c>
      <c r="H1" s="1">
        <v>130.0</v>
      </c>
      <c r="I1" s="1">
        <v>129.0</v>
      </c>
      <c r="J1" s="1">
        <v>120.0</v>
      </c>
      <c r="K1" s="1">
        <v>122.0</v>
      </c>
      <c r="L1" s="1">
        <v>124.0</v>
      </c>
    </row>
    <row r="2" ht="15.75" customHeight="1">
      <c r="A2" s="2">
        <v>117.0</v>
      </c>
      <c r="B2" s="2">
        <v>123.0</v>
      </c>
      <c r="C2" s="2">
        <v>123.0</v>
      </c>
      <c r="D2" s="2">
        <v>129.0</v>
      </c>
      <c r="E2" s="2">
        <v>121.0</v>
      </c>
      <c r="F2" s="2">
        <v>122.0</v>
      </c>
      <c r="G2" s="1">
        <v>125.0</v>
      </c>
      <c r="H2" s="1">
        <v>131.0</v>
      </c>
      <c r="I2" s="1">
        <v>147.0</v>
      </c>
      <c r="J2" s="1">
        <v>124.0</v>
      </c>
      <c r="K2" s="1">
        <v>137.0</v>
      </c>
      <c r="L2" s="1">
        <v>112.0</v>
      </c>
    </row>
    <row r="3" ht="15.75" customHeight="1">
      <c r="A3" s="2">
        <v>126.0</v>
      </c>
      <c r="B3" s="2">
        <v>128.0</v>
      </c>
      <c r="C3" s="2">
        <v>111.0</v>
      </c>
      <c r="D3" s="2">
        <v>129.0</v>
      </c>
      <c r="E3" s="2">
        <v>115.0</v>
      </c>
      <c r="F3" s="2">
        <v>147.0</v>
      </c>
      <c r="G3" s="1">
        <v>131.0</v>
      </c>
      <c r="H3" s="1">
        <v>132.0</v>
      </c>
      <c r="I3" s="1">
        <v>137.0</v>
      </c>
      <c r="J3" s="1">
        <v>119.0</v>
      </c>
      <c r="K3" s="1">
        <v>125.0</v>
      </c>
      <c r="L3" s="1">
        <v>120.0</v>
      </c>
    </row>
    <row r="4" ht="15.75" customHeight="1">
      <c r="A4" s="2">
        <v>129.0</v>
      </c>
      <c r="B4" s="2">
        <v>125.0</v>
      </c>
      <c r="C4" s="2">
        <v>123.0</v>
      </c>
      <c r="D4" s="2">
        <v>127.0</v>
      </c>
      <c r="E4" s="2">
        <v>132.0</v>
      </c>
      <c r="F4" s="2">
        <v>118.0</v>
      </c>
      <c r="G4" s="1">
        <v>133.0</v>
      </c>
      <c r="H4" s="1">
        <v>132.0</v>
      </c>
      <c r="I4" s="1">
        <v>132.0</v>
      </c>
      <c r="J4" s="1">
        <v>134.0</v>
      </c>
      <c r="K4" s="1">
        <v>131.0</v>
      </c>
      <c r="L4" s="1">
        <v>120.0</v>
      </c>
    </row>
    <row r="5" ht="15.75" customHeight="1">
      <c r="A5" s="2">
        <v>135.0</v>
      </c>
      <c r="B5" s="2">
        <v>132.0</v>
      </c>
      <c r="C5" s="2">
        <v>125.0</v>
      </c>
      <c r="D5" s="2">
        <v>132.0</v>
      </c>
      <c r="E5" s="2">
        <v>108.0</v>
      </c>
      <c r="F5" s="2">
        <v>114.0</v>
      </c>
      <c r="G5" s="1">
        <v>121.0</v>
      </c>
      <c r="H5" s="1">
        <v>133.0</v>
      </c>
      <c r="I5" s="1">
        <v>133.0</v>
      </c>
      <c r="J5" s="1">
        <v>135.0</v>
      </c>
      <c r="K5" s="1">
        <v>131.0</v>
      </c>
      <c r="L5" s="1">
        <v>125.0</v>
      </c>
    </row>
    <row r="6" ht="15.75" customHeight="1">
      <c r="A6" s="2">
        <v>114.0</v>
      </c>
      <c r="B6" s="2">
        <v>115.0</v>
      </c>
      <c r="C6" s="2">
        <v>122.0</v>
      </c>
      <c r="D6" s="2">
        <v>131.0</v>
      </c>
      <c r="E6" s="2">
        <v>125.0</v>
      </c>
      <c r="F6" s="2">
        <v>132.0</v>
      </c>
      <c r="G6" s="1">
        <v>120.0</v>
      </c>
      <c r="H6" s="1">
        <v>126.0</v>
      </c>
      <c r="I6" s="1">
        <v>115.0</v>
      </c>
      <c r="J6" s="1">
        <v>117.0</v>
      </c>
      <c r="K6" s="1">
        <v>118.0</v>
      </c>
      <c r="L6" s="1">
        <v>118.0</v>
      </c>
    </row>
    <row r="7" ht="15.75" customHeight="1">
      <c r="A7" s="2">
        <v>132.0</v>
      </c>
      <c r="B7" s="2">
        <v>134.0</v>
      </c>
      <c r="C7" s="2">
        <v>127.0</v>
      </c>
      <c r="D7" s="2">
        <v>127.0</v>
      </c>
      <c r="E7" s="2">
        <v>124.0</v>
      </c>
      <c r="F7" s="2">
        <v>135.0</v>
      </c>
      <c r="G7" s="1">
        <v>128.0</v>
      </c>
      <c r="H7" s="1">
        <v>127.0</v>
      </c>
      <c r="I7" s="1">
        <v>115.0</v>
      </c>
      <c r="J7" s="1">
        <v>144.0</v>
      </c>
      <c r="K7" s="1">
        <v>129.0</v>
      </c>
      <c r="L7" s="1">
        <v>120.0</v>
      </c>
    </row>
    <row r="8" ht="15.75" customHeight="1">
      <c r="A8" s="2">
        <v>137.0</v>
      </c>
      <c r="B8" s="2">
        <v>127.0</v>
      </c>
      <c r="C8" s="2">
        <v>125.0</v>
      </c>
      <c r="D8" s="2">
        <v>116.0</v>
      </c>
      <c r="E8" s="2">
        <v>132.0</v>
      </c>
      <c r="F8" s="2">
        <v>120.0</v>
      </c>
      <c r="G8" s="1">
        <v>117.0</v>
      </c>
      <c r="H8" s="1">
        <v>127.0</v>
      </c>
      <c r="I8" s="1">
        <v>118.0</v>
      </c>
      <c r="J8" s="1">
        <v>109.0</v>
      </c>
      <c r="K8" s="1">
        <v>127.0</v>
      </c>
      <c r="L8" s="1">
        <v>122.0</v>
      </c>
    </row>
    <row r="9" ht="15.75" customHeight="1">
      <c r="A9" s="2">
        <v>120.0</v>
      </c>
      <c r="B9" s="2">
        <v>135.0</v>
      </c>
      <c r="C9" s="2">
        <v>116.0</v>
      </c>
      <c r="D9" s="2">
        <v>118.0</v>
      </c>
      <c r="E9" s="2">
        <v>133.0</v>
      </c>
      <c r="F9" s="2">
        <v>136.0</v>
      </c>
      <c r="G9" s="1">
        <v>125.0</v>
      </c>
      <c r="H9" s="1">
        <v>126.0</v>
      </c>
      <c r="I9" s="1">
        <v>119.0</v>
      </c>
      <c r="J9" s="1">
        <v>126.0</v>
      </c>
      <c r="K9" s="1">
        <v>129.0</v>
      </c>
      <c r="L9" s="1">
        <v>127.0</v>
      </c>
    </row>
    <row r="10" ht="15.75" customHeight="1">
      <c r="A10" s="2">
        <v>129.0</v>
      </c>
      <c r="B10" s="2">
        <v>124.0</v>
      </c>
      <c r="C10" s="2">
        <v>127.0</v>
      </c>
      <c r="D10" s="2">
        <v>132.0</v>
      </c>
      <c r="E10" s="2">
        <v>126.0</v>
      </c>
      <c r="F10" s="2">
        <v>131.0</v>
      </c>
      <c r="G10" s="1">
        <v>127.0</v>
      </c>
      <c r="H10" s="1">
        <v>130.0</v>
      </c>
      <c r="I10" s="1">
        <v>126.0</v>
      </c>
      <c r="J10" s="1">
        <v>124.0</v>
      </c>
      <c r="K10" s="1">
        <v>135.0</v>
      </c>
      <c r="L10" s="1">
        <v>127.0</v>
      </c>
    </row>
    <row r="11" ht="15.75" customHeight="1">
      <c r="A11" s="2">
        <v>124.0</v>
      </c>
      <c r="B11" s="2">
        <v>123.0</v>
      </c>
      <c r="C11" s="2">
        <v>123.0</v>
      </c>
      <c r="D11" s="2">
        <v>130.0</v>
      </c>
      <c r="E11" s="2">
        <v>132.0</v>
      </c>
      <c r="F11" s="2">
        <v>143.0</v>
      </c>
      <c r="G11" s="1">
        <v>122.0</v>
      </c>
      <c r="H11" s="1">
        <v>139.0</v>
      </c>
      <c r="I11" s="1">
        <v>120.0</v>
      </c>
      <c r="J11" s="1">
        <v>134.0</v>
      </c>
      <c r="K11" s="1">
        <v>108.0</v>
      </c>
      <c r="L11" s="1">
        <v>132.0</v>
      </c>
    </row>
    <row r="12" ht="15.75" customHeight="1">
      <c r="A12" s="2">
        <v>121.0</v>
      </c>
      <c r="B12" s="2">
        <v>111.0</v>
      </c>
      <c r="C12" s="2">
        <v>123.0</v>
      </c>
      <c r="D12" s="2">
        <v>140.0</v>
      </c>
      <c r="E12" s="2">
        <v>137.0</v>
      </c>
      <c r="F12" s="2">
        <v>120.0</v>
      </c>
      <c r="G12" s="1">
        <v>125.0</v>
      </c>
      <c r="H12" s="1">
        <v>131.0</v>
      </c>
      <c r="I12" s="1">
        <v>118.0</v>
      </c>
      <c r="J12" s="1">
        <v>120.0</v>
      </c>
      <c r="K12" s="1">
        <v>120.0</v>
      </c>
      <c r="L12" s="1">
        <v>136.0</v>
      </c>
    </row>
    <row r="13" ht="15.75" customHeight="1">
      <c r="A13" s="2">
        <v>129.0</v>
      </c>
      <c r="B13" s="2">
        <v>127.0</v>
      </c>
      <c r="C13" s="2">
        <v>116.0</v>
      </c>
      <c r="D13" s="2">
        <v>138.0</v>
      </c>
      <c r="E13" s="2">
        <v>128.0</v>
      </c>
      <c r="F13" s="2">
        <v>133.0</v>
      </c>
      <c r="G13" s="1">
        <v>122.0</v>
      </c>
      <c r="H13" s="1">
        <v>131.0</v>
      </c>
      <c r="I13" s="1">
        <v>128.0</v>
      </c>
      <c r="J13" s="1">
        <v>140.0</v>
      </c>
      <c r="K13" s="1">
        <v>138.0</v>
      </c>
      <c r="L13" s="1">
        <v>134.0</v>
      </c>
    </row>
    <row r="14" ht="15.75" customHeight="1">
      <c r="A14" s="2">
        <v>120.0</v>
      </c>
      <c r="B14" s="2">
        <v>126.0</v>
      </c>
      <c r="C14" s="2">
        <v>109.0</v>
      </c>
      <c r="D14" s="2">
        <v>137.0</v>
      </c>
      <c r="E14" s="2">
        <v>111.0</v>
      </c>
      <c r="F14" s="2">
        <v>115.0</v>
      </c>
      <c r="G14" s="1">
        <v>117.0</v>
      </c>
      <c r="H14" s="1">
        <v>130.0</v>
      </c>
      <c r="I14" s="1">
        <v>113.0</v>
      </c>
      <c r="J14" s="1">
        <v>126.0</v>
      </c>
      <c r="K14" s="1">
        <v>115.0</v>
      </c>
      <c r="L14" s="1">
        <v>124.0</v>
      </c>
    </row>
    <row r="15" ht="15.75" customHeight="1">
      <c r="A15" s="2">
        <v>125.0</v>
      </c>
      <c r="B15" s="2">
        <v>118.0</v>
      </c>
      <c r="C15" s="2">
        <v>115.0</v>
      </c>
      <c r="D15" s="2">
        <v>128.0</v>
      </c>
      <c r="E15" s="2">
        <v>123.0</v>
      </c>
      <c r="F15" s="2">
        <v>129.0</v>
      </c>
      <c r="G15" s="1">
        <v>128.0</v>
      </c>
      <c r="H15" s="1">
        <v>120.0</v>
      </c>
      <c r="I15" s="1">
        <v>115.0</v>
      </c>
      <c r="J15" s="1">
        <v>134.0</v>
      </c>
      <c r="K15" s="1">
        <v>118.0</v>
      </c>
      <c r="L15" s="1">
        <v>135.0</v>
      </c>
    </row>
    <row r="16" ht="15.75" customHeight="1">
      <c r="A16" s="2">
        <v>134.0</v>
      </c>
    </row>
    <row r="17" ht="15.75" customHeight="1"/>
    <row r="18" ht="15.75" customHeight="1"/>
    <row r="19" ht="15.75" customHeight="1">
      <c r="A19" s="3" t="s">
        <v>0</v>
      </c>
      <c r="B19" s="4">
        <f>MAX(A1:L16)</f>
        <v>152</v>
      </c>
      <c r="D19" s="12" t="s">
        <v>14</v>
      </c>
      <c r="E19" s="13"/>
      <c r="G19" s="31" t="s">
        <v>15</v>
      </c>
      <c r="H19" s="13"/>
      <c r="J19" s="12" t="s">
        <v>44</v>
      </c>
      <c r="K19" s="32"/>
      <c r="L19" s="13"/>
      <c r="M19" s="33">
        <f>ROUND((1+LOG(COUNT(A1:L16),2)),2)</f>
        <v>8.5</v>
      </c>
    </row>
    <row r="20" ht="15.75" customHeight="1">
      <c r="A20" s="3" t="s">
        <v>6</v>
      </c>
      <c r="B20" s="4">
        <f>MIN(A1:L16)</f>
        <v>104</v>
      </c>
      <c r="D20" s="4" t="s">
        <v>16</v>
      </c>
      <c r="E20" s="4">
        <f>ROUND(SUM(A1:L16)/COUNT(A1:L16),2)</f>
        <v>126.03</v>
      </c>
      <c r="G20" s="34" t="s">
        <v>16</v>
      </c>
      <c r="H20" s="34">
        <f t="array" ref="H20">ROUND((SUM(A1:L15-E20)+(A16-E20))/COUNT(A1:L16),2)</f>
        <v>0</v>
      </c>
      <c r="J20" s="12" t="s">
        <v>45</v>
      </c>
      <c r="K20" s="32"/>
      <c r="L20" s="13"/>
      <c r="M20" s="33">
        <f>ROUNDDOWN((B19-B20)/M19,1)</f>
        <v>5.6</v>
      </c>
    </row>
    <row r="21" ht="15.75" customHeight="1">
      <c r="A21" s="3" t="s">
        <v>8</v>
      </c>
      <c r="B21" s="4">
        <f>B19-B20</f>
        <v>48</v>
      </c>
      <c r="D21" s="4" t="s">
        <v>18</v>
      </c>
      <c r="E21" s="4">
        <f t="array" ref="E21">ROUND(SUM(A1:L16^2)/COUNT(A1:L16),2)</f>
        <v>15949.08</v>
      </c>
      <c r="G21" s="34" t="s">
        <v>18</v>
      </c>
      <c r="H21" s="34">
        <f t="array" ref="H21">ROUND((SUM((A1:L15-E20)^2)+(A16-E20)^2)/COUNT(A1:L16),2)</f>
        <v>66.12</v>
      </c>
    </row>
    <row r="22" ht="15.75" customHeight="1">
      <c r="D22" s="4" t="s">
        <v>21</v>
      </c>
      <c r="E22" s="4">
        <f t="array" ref="E22">ROUND(SUM(A1:L16^3)/COUNT(A1:L16),2)</f>
        <v>2026716.23</v>
      </c>
      <c r="G22" s="34" t="s">
        <v>21</v>
      </c>
      <c r="H22" s="34">
        <f t="array" ref="H22">ROUND((SUM((A1:L15-E20)^3)+(A16-E20)^3)/COUNT(A1:L16),2)</f>
        <v>26.73</v>
      </c>
      <c r="J22" s="12" t="s">
        <v>46</v>
      </c>
      <c r="K22" s="32"/>
      <c r="L22" s="32"/>
      <c r="M22" s="32"/>
      <c r="N22" s="32"/>
      <c r="O22" s="32"/>
      <c r="P22" s="32"/>
      <c r="Q22" s="13"/>
    </row>
    <row r="23" ht="15.75" customHeight="1">
      <c r="A23" s="3" t="s">
        <v>9</v>
      </c>
      <c r="B23" s="4">
        <f>MODE(A1:L16)</f>
        <v>132</v>
      </c>
      <c r="D23" s="4" t="s">
        <v>22</v>
      </c>
      <c r="E23" s="4">
        <f t="array" ref="E23">ROUND(SUM(A1:L16^4)/COUNT(A1:L16),2)</f>
        <v>258596591.1</v>
      </c>
      <c r="G23" s="34" t="s">
        <v>22</v>
      </c>
      <c r="H23" s="34">
        <f t="array" ref="H23">ROUND((SUM((A1:L15-E20)^4)+(A16-E20)^4)/COUNT(A1:L16),2)</f>
        <v>13757.2</v>
      </c>
      <c r="J23" s="35" t="s">
        <v>47</v>
      </c>
      <c r="K23" s="35" t="s">
        <v>48</v>
      </c>
      <c r="L23" s="35" t="s">
        <v>49</v>
      </c>
      <c r="M23" s="35" t="s">
        <v>50</v>
      </c>
      <c r="N23" s="35" t="s">
        <v>2</v>
      </c>
      <c r="O23" s="35" t="s">
        <v>3</v>
      </c>
      <c r="P23" s="35" t="s">
        <v>4</v>
      </c>
      <c r="Q23" s="35" t="s">
        <v>51</v>
      </c>
    </row>
    <row r="24" ht="15.75" customHeight="1">
      <c r="A24" s="3" t="s">
        <v>10</v>
      </c>
      <c r="B24" s="4">
        <f>MEDIAN(A1:L16)</f>
        <v>126</v>
      </c>
      <c r="J24" s="4">
        <v>1.0</v>
      </c>
      <c r="K24" s="4">
        <f>B20</f>
        <v>104</v>
      </c>
      <c r="L24" s="4">
        <f>K24+M20</f>
        <v>109.6</v>
      </c>
      <c r="M24" s="4">
        <f t="shared" ref="M24:M32" si="1">(L24+K24)/2</f>
        <v>106.8</v>
      </c>
      <c r="N24" s="4">
        <f>COUNTIFS($A$1:$L$16,"&gt;=104",$A$1:$L$16,"&lt;=109,6")</f>
        <v>5</v>
      </c>
      <c r="O24" s="4">
        <f t="shared" ref="O24:O32" si="2">ROUND(N24/$N$34,4)</f>
        <v>0.0258</v>
      </c>
      <c r="P24" s="4">
        <v>0.0</v>
      </c>
      <c r="Q24" s="4">
        <f>N24</f>
        <v>5</v>
      </c>
      <c r="R24" s="24">
        <f t="shared" ref="R24:R32" si="3">O24/$M$20</f>
        <v>0.004607142857</v>
      </c>
    </row>
    <row r="25" ht="15.75" customHeight="1">
      <c r="A25" s="3" t="s">
        <v>11</v>
      </c>
      <c r="B25" s="4">
        <f>ROUND(SKEW(A1:L16),2)</f>
        <v>0.05</v>
      </c>
      <c r="J25" s="4">
        <v>2.0</v>
      </c>
      <c r="K25" s="4">
        <f t="shared" ref="K25:K32" si="4">L24</f>
        <v>109.6</v>
      </c>
      <c r="L25" s="4">
        <f t="shared" ref="L25:L32" si="5">K25+$M$20</f>
        <v>115.2</v>
      </c>
      <c r="M25" s="4">
        <f t="shared" si="1"/>
        <v>112.4</v>
      </c>
      <c r="N25" s="4">
        <f>COUNTIFS($A$1:$L$16,"&gt;=109,6",$A$1:$L$16,"&lt;=115,2")</f>
        <v>15</v>
      </c>
      <c r="O25" s="4">
        <f t="shared" si="2"/>
        <v>0.0773</v>
      </c>
      <c r="P25" s="4">
        <f t="shared" ref="P25:P33" si="6">P24+O24</f>
        <v>0.0258</v>
      </c>
      <c r="Q25" s="4">
        <f t="shared" ref="Q25:Q32" si="7">Q24+N25</f>
        <v>20</v>
      </c>
      <c r="R25" s="24">
        <f t="shared" si="3"/>
        <v>0.01380357143</v>
      </c>
    </row>
    <row r="26" ht="15.75" customHeight="1">
      <c r="A26" s="3" t="s">
        <v>12</v>
      </c>
      <c r="B26" s="4">
        <f>ROUND(KURT(A1:L16),2)</f>
        <v>0.19</v>
      </c>
      <c r="J26" s="4">
        <v>3.0</v>
      </c>
      <c r="K26" s="4">
        <f t="shared" si="4"/>
        <v>115.2</v>
      </c>
      <c r="L26" s="4">
        <f t="shared" si="5"/>
        <v>120.8</v>
      </c>
      <c r="M26" s="4">
        <f t="shared" si="1"/>
        <v>118</v>
      </c>
      <c r="N26" s="4">
        <f>COUNTIFS($A$1:$L$16,"&gt;=115,2",$A$1:$L$16,"&lt;=120,8")</f>
        <v>30</v>
      </c>
      <c r="O26" s="4">
        <f t="shared" si="2"/>
        <v>0.1546</v>
      </c>
      <c r="P26" s="4">
        <f t="shared" si="6"/>
        <v>0.1031</v>
      </c>
      <c r="Q26" s="4">
        <f t="shared" si="7"/>
        <v>50</v>
      </c>
      <c r="R26" s="24">
        <f t="shared" si="3"/>
        <v>0.02760714286</v>
      </c>
    </row>
    <row r="27" ht="15.75" customHeight="1">
      <c r="J27" s="4">
        <v>4.0</v>
      </c>
      <c r="K27" s="4">
        <f t="shared" si="4"/>
        <v>120.8</v>
      </c>
      <c r="L27" s="4">
        <f t="shared" si="5"/>
        <v>126.4</v>
      </c>
      <c r="M27" s="4">
        <f t="shared" si="1"/>
        <v>123.6</v>
      </c>
      <c r="N27" s="4">
        <f>COUNTIFS($A$1:$L$16,"&gt;=120,8",$A$1:$L$16,"&lt;=126,4")</f>
        <v>42</v>
      </c>
      <c r="O27" s="4">
        <f t="shared" si="2"/>
        <v>0.2165</v>
      </c>
      <c r="P27" s="4">
        <f t="shared" si="6"/>
        <v>0.2577</v>
      </c>
      <c r="Q27" s="4">
        <f t="shared" si="7"/>
        <v>92</v>
      </c>
      <c r="R27" s="24">
        <f t="shared" si="3"/>
        <v>0.03866071429</v>
      </c>
    </row>
    <row r="28" ht="15.75" customHeight="1">
      <c r="J28" s="4">
        <v>5.0</v>
      </c>
      <c r="K28" s="4">
        <f t="shared" si="4"/>
        <v>126.4</v>
      </c>
      <c r="L28" s="4">
        <f t="shared" si="5"/>
        <v>132</v>
      </c>
      <c r="M28" s="4">
        <f t="shared" si="1"/>
        <v>129.2</v>
      </c>
      <c r="N28" s="4">
        <f>COUNTIFS($A$1:$L$16,"&gt;=126,4",$A$1:$L$16,"&lt;=132")</f>
        <v>52</v>
      </c>
      <c r="O28" s="4">
        <f t="shared" si="2"/>
        <v>0.268</v>
      </c>
      <c r="P28" s="4">
        <f t="shared" si="6"/>
        <v>0.4742</v>
      </c>
      <c r="Q28" s="4">
        <f t="shared" si="7"/>
        <v>144</v>
      </c>
      <c r="R28" s="24">
        <f t="shared" si="3"/>
        <v>0.04785714286</v>
      </c>
    </row>
    <row r="29" ht="15.75" customHeight="1">
      <c r="J29" s="4">
        <v>6.0</v>
      </c>
      <c r="K29" s="4">
        <f t="shared" si="4"/>
        <v>132</v>
      </c>
      <c r="L29" s="4">
        <f t="shared" si="5"/>
        <v>137.6</v>
      </c>
      <c r="M29" s="4">
        <f t="shared" si="1"/>
        <v>134.8</v>
      </c>
      <c r="N29" s="4">
        <f>COUNTIFS($A$1:$L$16,"&gt;=132",$A$1:$L$16,"&lt;=137,6")</f>
        <v>40</v>
      </c>
      <c r="O29" s="4">
        <f t="shared" si="2"/>
        <v>0.2062</v>
      </c>
      <c r="P29" s="4">
        <f t="shared" si="6"/>
        <v>0.7422</v>
      </c>
      <c r="Q29" s="4">
        <f t="shared" si="7"/>
        <v>184</v>
      </c>
      <c r="R29" s="24">
        <f t="shared" si="3"/>
        <v>0.03682142857</v>
      </c>
    </row>
    <row r="30" ht="15.75" customHeight="1">
      <c r="J30" s="4">
        <v>7.0</v>
      </c>
      <c r="K30" s="4">
        <f t="shared" si="4"/>
        <v>137.6</v>
      </c>
      <c r="L30" s="4">
        <f t="shared" si="5"/>
        <v>143.2</v>
      </c>
      <c r="M30" s="4">
        <f t="shared" si="1"/>
        <v>140.4</v>
      </c>
      <c r="N30" s="4">
        <f>COUNTIFS($A$1:$L$16,"&gt;=137,6",$A$1:$L$16,"&lt;=143,2")</f>
        <v>6</v>
      </c>
      <c r="O30" s="4">
        <f t="shared" si="2"/>
        <v>0.0309</v>
      </c>
      <c r="P30" s="4">
        <f t="shared" si="6"/>
        <v>0.9484</v>
      </c>
      <c r="Q30" s="4">
        <f t="shared" si="7"/>
        <v>190</v>
      </c>
      <c r="R30" s="24">
        <f t="shared" si="3"/>
        <v>0.005517857143</v>
      </c>
    </row>
    <row r="31" ht="15.75" customHeight="1">
      <c r="J31" s="4">
        <v>8.0</v>
      </c>
      <c r="K31" s="4">
        <f t="shared" si="4"/>
        <v>143.2</v>
      </c>
      <c r="L31" s="4">
        <f t="shared" si="5"/>
        <v>148.8</v>
      </c>
      <c r="M31" s="4">
        <f t="shared" si="1"/>
        <v>146</v>
      </c>
      <c r="N31" s="4">
        <f>COUNTIFS($A$1:$L$16,"&gt;=143,2",$A$1:$L$16,"&lt;=148,8")</f>
        <v>3</v>
      </c>
      <c r="O31" s="4">
        <f t="shared" si="2"/>
        <v>0.0155</v>
      </c>
      <c r="P31" s="4">
        <f t="shared" si="6"/>
        <v>0.9793</v>
      </c>
      <c r="Q31" s="4">
        <f t="shared" si="7"/>
        <v>193</v>
      </c>
      <c r="R31" s="24">
        <f t="shared" si="3"/>
        <v>0.002767857143</v>
      </c>
    </row>
    <row r="32" ht="15.75" customHeight="1">
      <c r="J32" s="4">
        <v>9.0</v>
      </c>
      <c r="K32" s="4">
        <f t="shared" si="4"/>
        <v>148.8</v>
      </c>
      <c r="L32" s="4">
        <f t="shared" si="5"/>
        <v>154.4</v>
      </c>
      <c r="M32" s="4">
        <f t="shared" si="1"/>
        <v>151.6</v>
      </c>
      <c r="N32" s="4">
        <f>COUNTIFS($A$1:$L$16,"&gt;=148,8",$A$1:$L$16,"&lt;=154,4")</f>
        <v>1</v>
      </c>
      <c r="O32" s="4">
        <f t="shared" si="2"/>
        <v>0.0052</v>
      </c>
      <c r="P32" s="4">
        <f t="shared" si="6"/>
        <v>0.9948</v>
      </c>
      <c r="Q32" s="4">
        <f t="shared" si="7"/>
        <v>194</v>
      </c>
      <c r="R32" s="24">
        <f t="shared" si="3"/>
        <v>0.0009285714286</v>
      </c>
    </row>
    <row r="33" ht="15.75" customHeight="1">
      <c r="J33" s="4"/>
      <c r="K33" s="4"/>
      <c r="L33" s="4"/>
      <c r="M33" s="4"/>
      <c r="N33" s="4"/>
      <c r="O33" s="4"/>
      <c r="P33" s="4">
        <f t="shared" si="6"/>
        <v>1</v>
      </c>
      <c r="Q33" s="4"/>
    </row>
    <row r="34" ht="15.75" customHeight="1">
      <c r="J34" s="4" t="s">
        <v>13</v>
      </c>
      <c r="K34" s="4"/>
      <c r="L34" s="4"/>
      <c r="M34" s="4"/>
      <c r="N34" s="4">
        <f t="shared" ref="N34:O34" si="8">SUM(N24:N32)</f>
        <v>194</v>
      </c>
      <c r="O34" s="4">
        <f t="shared" si="8"/>
        <v>1</v>
      </c>
      <c r="P34" s="4"/>
      <c r="Q34" s="4"/>
    </row>
    <row r="35" ht="15.75" customHeight="1"/>
    <row r="36" ht="15.75" customHeight="1">
      <c r="J36" s="25" t="s">
        <v>52</v>
      </c>
      <c r="K36" s="36"/>
      <c r="L36" s="26"/>
    </row>
    <row r="37" ht="15.75" customHeight="1">
      <c r="J37" s="8" t="s">
        <v>53</v>
      </c>
      <c r="K37" s="8" t="s">
        <v>54</v>
      </c>
      <c r="L37" s="37" t="s">
        <v>55</v>
      </c>
      <c r="M37" s="27" t="s">
        <v>56</v>
      </c>
    </row>
    <row r="38" ht="15.75" customHeight="1">
      <c r="J38" s="38">
        <f>COUNT(A1:L16)</f>
        <v>181</v>
      </c>
      <c r="K38" s="4">
        <f>E20</f>
        <v>126.03</v>
      </c>
      <c r="L38" s="4">
        <f>H21</f>
        <v>66.12</v>
      </c>
    </row>
    <row r="39" ht="15.75" customHeight="1">
      <c r="J39" s="7"/>
      <c r="K39" s="7"/>
      <c r="L39" s="7"/>
      <c r="P39" s="25" t="s">
        <v>57</v>
      </c>
      <c r="Q39" s="26"/>
    </row>
    <row r="40" ht="15.75" customHeight="1">
      <c r="J40" s="7"/>
      <c r="K40" s="7"/>
      <c r="L40" s="7"/>
      <c r="P40" s="8" t="s">
        <v>33</v>
      </c>
      <c r="Q40" s="8" t="s">
        <v>34</v>
      </c>
    </row>
    <row r="41" ht="15.75" customHeight="1">
      <c r="J41" s="7"/>
      <c r="K41" s="7"/>
      <c r="L41" s="7"/>
      <c r="P41" s="4">
        <f>ROUND(MAX(V54:V63)*SQRT(J38),2)</f>
        <v>0.62</v>
      </c>
      <c r="Q41" s="4">
        <v>1.36</v>
      </c>
    </row>
    <row r="42" ht="15.75" customHeight="1">
      <c r="J42" s="7"/>
      <c r="K42" s="7"/>
      <c r="L42" s="7"/>
    </row>
    <row r="43" ht="15.75" customHeight="1">
      <c r="J43" s="7"/>
      <c r="K43" s="7"/>
      <c r="L43" s="7"/>
      <c r="P43" s="7" t="s">
        <v>58</v>
      </c>
    </row>
    <row r="44" ht="15.75" customHeight="1">
      <c r="J44" s="7"/>
      <c r="K44" s="7"/>
      <c r="L44" s="7"/>
    </row>
    <row r="45" ht="15.75" customHeight="1"/>
    <row r="46" ht="15.75" customHeight="1">
      <c r="J46" s="7" t="s">
        <v>59</v>
      </c>
    </row>
    <row r="47" ht="15.75" customHeight="1">
      <c r="J47" s="7">
        <v>2.6030740414488</v>
      </c>
    </row>
    <row r="48" ht="15.75" customHeight="1">
      <c r="J48" s="7"/>
    </row>
    <row r="49" ht="15.75" customHeight="1">
      <c r="J49" s="25" t="s">
        <v>60</v>
      </c>
      <c r="K49" s="26"/>
      <c r="M49" s="39" t="s">
        <v>61</v>
      </c>
      <c r="N49" s="26"/>
      <c r="O49" s="7"/>
    </row>
    <row r="50" ht="15.75" customHeight="1">
      <c r="E50" s="6"/>
      <c r="F50" s="7" t="s">
        <v>5</v>
      </c>
      <c r="J50" s="8">
        <f>ROUND(K38-SQRT(K38)/SQRT(J38)*J47,2)</f>
        <v>123.86</v>
      </c>
      <c r="K50" s="8">
        <f>ROUND(K38+SQRT(K38)/SQRT(J38)*J47,2)</f>
        <v>128.2</v>
      </c>
      <c r="M50" s="8">
        <f t="array" ref="M50">(SUM((A1:L15-E20)^2)+(A16-E20)^2)/219.04688</f>
        <v>54.63151495</v>
      </c>
      <c r="N50" s="8">
        <f t="array" ref="N50">(SUM((A1:L15-E20)^2)+(A16-E20)^2)/144.74219</f>
        <v>82.67708883</v>
      </c>
      <c r="P50" s="21"/>
    </row>
    <row r="51" ht="15.75" customHeight="1">
      <c r="A51" s="4"/>
      <c r="B51" s="40" t="s">
        <v>62</v>
      </c>
      <c r="C51" s="41" t="s">
        <v>63</v>
      </c>
      <c r="E51" s="10"/>
      <c r="F51" s="7" t="s">
        <v>7</v>
      </c>
    </row>
    <row r="52" ht="15.75" customHeight="1">
      <c r="A52" s="4" t="s">
        <v>27</v>
      </c>
      <c r="B52" s="4">
        <f>ROUND(SUM(A1:F16)/COUNT(A1:F16),2)</f>
        <v>125.95</v>
      </c>
      <c r="C52" s="4">
        <f>ROUND(SUM(G1:L15)/COUNT(G1:L15),2)</f>
        <v>126.11</v>
      </c>
      <c r="D52" s="21" t="s">
        <v>25</v>
      </c>
      <c r="F52" s="21" t="s">
        <v>26</v>
      </c>
      <c r="J52" s="35" t="s">
        <v>46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</row>
    <row r="53" ht="15.75" customHeight="1">
      <c r="A53" s="4" t="s">
        <v>32</v>
      </c>
      <c r="B53" s="4">
        <f t="array" ref="B53">ROUND(SUM((A1:F15-B52)^2)/(COUNT(A1:F15)-1),2)</f>
        <v>74.52</v>
      </c>
      <c r="C53" s="38">
        <f t="array" ref="C53">ROUND(SUM((G1:L15-C52)^2)/(COUNT(G1:L15)-1),2)</f>
        <v>59.2</v>
      </c>
      <c r="D53" s="24">
        <f>ROUND(B53/C53,2)</f>
        <v>1.26</v>
      </c>
      <c r="E53" s="24">
        <f>ROUND(_xlfn.F.INV(0.05,91-1,90-1),2)</f>
        <v>0.71</v>
      </c>
      <c r="F53" s="24">
        <f>ROUND(((91-1)*B53+(90-1)*C53)/(91+90-2),2)</f>
        <v>66.9</v>
      </c>
      <c r="J53" s="35" t="s">
        <v>47</v>
      </c>
      <c r="K53" s="35" t="s">
        <v>48</v>
      </c>
      <c r="L53" s="35" t="s">
        <v>49</v>
      </c>
      <c r="M53" s="35" t="s">
        <v>50</v>
      </c>
      <c r="N53" s="35" t="s">
        <v>2</v>
      </c>
      <c r="O53" s="35" t="s">
        <v>64</v>
      </c>
      <c r="P53" s="35" t="s">
        <v>65</v>
      </c>
      <c r="Q53" s="35" t="s">
        <v>35</v>
      </c>
      <c r="R53" s="35" t="s">
        <v>36</v>
      </c>
      <c r="S53" s="35" t="s">
        <v>37</v>
      </c>
      <c r="T53" s="35" t="s">
        <v>66</v>
      </c>
      <c r="V53" s="7" t="s">
        <v>67</v>
      </c>
    </row>
    <row r="54" ht="15.75" customHeight="1">
      <c r="J54" s="4">
        <v>1.0</v>
      </c>
      <c r="K54" s="4">
        <v>104.0</v>
      </c>
      <c r="L54" s="4">
        <v>109.6</v>
      </c>
      <c r="M54" s="4">
        <v>106.8</v>
      </c>
      <c r="N54" s="4">
        <v>5.0</v>
      </c>
      <c r="O54" s="4">
        <f t="shared" ref="O54:O62" si="9">ROUND((M54-$K$38)/SQRT($L$38),2)</f>
        <v>-2.36</v>
      </c>
      <c r="P54" s="4">
        <f t="shared" ref="P54:P62" si="10">NORMDIST(O54,0,1,FALSE())</f>
        <v>0.02463126931</v>
      </c>
      <c r="Q54" s="4">
        <f t="shared" ref="Q54:Q62" si="11">ROUND($M$20*$J$38/SQRT($H$21)*P54,0)</f>
        <v>3</v>
      </c>
      <c r="R54" s="4">
        <f t="shared" ref="R54:R62" si="12">ROUND(Q54/$Q$64,3)</f>
        <v>0.017</v>
      </c>
      <c r="S54" s="4">
        <v>0.0</v>
      </c>
      <c r="T54" s="4">
        <f>Q54</f>
        <v>3</v>
      </c>
      <c r="U54" s="24">
        <f t="shared" ref="U54:U62" si="13">R54/$M$20</f>
        <v>0.003035714286</v>
      </c>
      <c r="V54" s="7">
        <f t="shared" ref="V54:V63" si="14">S54-P24</f>
        <v>0</v>
      </c>
    </row>
    <row r="55" ht="15.75" customHeight="1">
      <c r="A55" s="7" t="s">
        <v>33</v>
      </c>
      <c r="B55" s="7" t="s">
        <v>34</v>
      </c>
      <c r="J55" s="4">
        <v>2.0</v>
      </c>
      <c r="K55" s="4">
        <v>109.6</v>
      </c>
      <c r="L55" s="4">
        <v>115.19999999999999</v>
      </c>
      <c r="M55" s="4">
        <v>112.39999999999999</v>
      </c>
      <c r="N55" s="4">
        <v>15.0</v>
      </c>
      <c r="O55" s="4">
        <f t="shared" si="9"/>
        <v>-1.68</v>
      </c>
      <c r="P55" s="4">
        <f t="shared" si="10"/>
        <v>0.09728226933</v>
      </c>
      <c r="Q55" s="4">
        <f t="shared" si="11"/>
        <v>12</v>
      </c>
      <c r="R55" s="4">
        <f t="shared" si="12"/>
        <v>0.067</v>
      </c>
      <c r="S55" s="4">
        <f t="shared" ref="S55:S63" si="15">S54+R54</f>
        <v>0.017</v>
      </c>
      <c r="T55" s="4">
        <f t="shared" ref="T55:T62" si="16">T54+Q55</f>
        <v>15</v>
      </c>
      <c r="U55" s="24">
        <f t="shared" si="13"/>
        <v>0.01196428571</v>
      </c>
      <c r="V55" s="7">
        <f t="shared" si="14"/>
        <v>-0.0088</v>
      </c>
    </row>
    <row r="56" ht="15.75" customHeight="1">
      <c r="A56" s="7">
        <f>ROUND((C52-B52)/(SQRT(F53)*SQRT((1/COUNT(A1:F16)+1/COUNT(G1:L15)))),2)</f>
        <v>0.13</v>
      </c>
      <c r="B56" s="7">
        <f>ROUND(_xlfn.T.INV(0.05, 91+90-2),2)</f>
        <v>-1.65</v>
      </c>
      <c r="J56" s="4">
        <v>3.0</v>
      </c>
      <c r="K56" s="4">
        <v>115.19999999999999</v>
      </c>
      <c r="L56" s="4">
        <v>120.79999999999998</v>
      </c>
      <c r="M56" s="4">
        <v>117.99999999999999</v>
      </c>
      <c r="N56" s="4">
        <v>30.0</v>
      </c>
      <c r="O56" s="4">
        <f t="shared" si="9"/>
        <v>-0.99</v>
      </c>
      <c r="P56" s="4">
        <f t="shared" si="10"/>
        <v>0.2443903509</v>
      </c>
      <c r="Q56" s="4">
        <f t="shared" si="11"/>
        <v>30</v>
      </c>
      <c r="R56" s="4">
        <f t="shared" si="12"/>
        <v>0.168</v>
      </c>
      <c r="S56" s="4">
        <f t="shared" si="15"/>
        <v>0.084</v>
      </c>
      <c r="T56" s="4">
        <f t="shared" si="16"/>
        <v>45</v>
      </c>
      <c r="U56" s="24">
        <f t="shared" si="13"/>
        <v>0.03</v>
      </c>
      <c r="V56" s="7">
        <f t="shared" si="14"/>
        <v>-0.0191</v>
      </c>
    </row>
    <row r="57" ht="15.75" customHeight="1">
      <c r="J57" s="4">
        <v>4.0</v>
      </c>
      <c r="K57" s="4">
        <v>120.79999999999998</v>
      </c>
      <c r="L57" s="4">
        <v>126.39999999999998</v>
      </c>
      <c r="M57" s="4">
        <v>123.59999999999998</v>
      </c>
      <c r="N57" s="4">
        <v>42.0</v>
      </c>
      <c r="O57" s="4">
        <f t="shared" si="9"/>
        <v>-0.3</v>
      </c>
      <c r="P57" s="4">
        <f t="shared" si="10"/>
        <v>0.3813878155</v>
      </c>
      <c r="Q57" s="4">
        <f t="shared" si="11"/>
        <v>48</v>
      </c>
      <c r="R57" s="4">
        <f t="shared" si="12"/>
        <v>0.268</v>
      </c>
      <c r="S57" s="4">
        <f t="shared" si="15"/>
        <v>0.252</v>
      </c>
      <c r="T57" s="4">
        <f t="shared" si="16"/>
        <v>93</v>
      </c>
      <c r="U57" s="24">
        <f t="shared" si="13"/>
        <v>0.04785714286</v>
      </c>
      <c r="V57" s="7">
        <f t="shared" si="14"/>
        <v>-0.0057</v>
      </c>
    </row>
    <row r="58" ht="15.75" customHeight="1">
      <c r="A58" s="27" t="s">
        <v>42</v>
      </c>
      <c r="J58" s="4">
        <v>5.0</v>
      </c>
      <c r="K58" s="4">
        <v>126.39999999999998</v>
      </c>
      <c r="L58" s="4">
        <v>131.99999999999997</v>
      </c>
      <c r="M58" s="4">
        <v>129.2</v>
      </c>
      <c r="N58" s="4">
        <v>52.0</v>
      </c>
      <c r="O58" s="4">
        <f t="shared" si="9"/>
        <v>0.39</v>
      </c>
      <c r="P58" s="4">
        <f t="shared" si="10"/>
        <v>0.3697276841</v>
      </c>
      <c r="Q58" s="4">
        <f t="shared" si="11"/>
        <v>46</v>
      </c>
      <c r="R58" s="4">
        <f t="shared" si="12"/>
        <v>0.257</v>
      </c>
      <c r="S58" s="4">
        <f t="shared" si="15"/>
        <v>0.52</v>
      </c>
      <c r="T58" s="4">
        <f t="shared" si="16"/>
        <v>139</v>
      </c>
      <c r="U58" s="24">
        <f t="shared" si="13"/>
        <v>0.04589285714</v>
      </c>
      <c r="V58" s="7">
        <f t="shared" si="14"/>
        <v>0.0458</v>
      </c>
    </row>
    <row r="59" ht="15.75" customHeight="1">
      <c r="J59" s="4">
        <v>6.0</v>
      </c>
      <c r="K59" s="4">
        <v>131.99999999999997</v>
      </c>
      <c r="L59" s="4">
        <v>137.59999999999997</v>
      </c>
      <c r="M59" s="4">
        <v>134.79999999999995</v>
      </c>
      <c r="N59" s="4">
        <v>40.0</v>
      </c>
      <c r="O59" s="4">
        <f t="shared" si="9"/>
        <v>1.08</v>
      </c>
      <c r="P59" s="4">
        <f t="shared" si="10"/>
        <v>0.2226534988</v>
      </c>
      <c r="Q59" s="4">
        <f t="shared" si="11"/>
        <v>28</v>
      </c>
      <c r="R59" s="4">
        <f t="shared" si="12"/>
        <v>0.156</v>
      </c>
      <c r="S59" s="4">
        <f t="shared" si="15"/>
        <v>0.777</v>
      </c>
      <c r="T59" s="4">
        <f t="shared" si="16"/>
        <v>167</v>
      </c>
      <c r="U59" s="24">
        <f t="shared" si="13"/>
        <v>0.02785714286</v>
      </c>
      <c r="V59" s="7">
        <f t="shared" si="14"/>
        <v>0.0348</v>
      </c>
    </row>
    <row r="60" ht="15.75" customHeight="1">
      <c r="J60" s="4">
        <v>7.0</v>
      </c>
      <c r="K60" s="4">
        <v>137.59999999999997</v>
      </c>
      <c r="L60" s="4">
        <v>143.19999999999996</v>
      </c>
      <c r="M60" s="4">
        <v>140.39999999999998</v>
      </c>
      <c r="N60" s="4">
        <v>6.0</v>
      </c>
      <c r="O60" s="4">
        <f t="shared" si="9"/>
        <v>1.77</v>
      </c>
      <c r="P60" s="4">
        <f t="shared" si="10"/>
        <v>0.08329318606</v>
      </c>
      <c r="Q60" s="4">
        <f t="shared" si="11"/>
        <v>10</v>
      </c>
      <c r="R60" s="4">
        <f t="shared" si="12"/>
        <v>0.056</v>
      </c>
      <c r="S60" s="4">
        <f t="shared" si="15"/>
        <v>0.933</v>
      </c>
      <c r="T60" s="4">
        <f t="shared" si="16"/>
        <v>177</v>
      </c>
      <c r="U60" s="24">
        <f t="shared" si="13"/>
        <v>0.01</v>
      </c>
      <c r="V60" s="7">
        <f t="shared" si="14"/>
        <v>-0.0154</v>
      </c>
    </row>
    <row r="61" ht="15.75" customHeight="1">
      <c r="J61" s="4">
        <v>8.0</v>
      </c>
      <c r="K61" s="4">
        <v>143.19999999999996</v>
      </c>
      <c r="L61" s="4">
        <v>148.79999999999995</v>
      </c>
      <c r="M61" s="4">
        <v>145.99999999999994</v>
      </c>
      <c r="N61" s="4">
        <v>3.0</v>
      </c>
      <c r="O61" s="4">
        <f t="shared" si="9"/>
        <v>2.46</v>
      </c>
      <c r="P61" s="4">
        <f t="shared" si="10"/>
        <v>0.01935627673</v>
      </c>
      <c r="Q61" s="4">
        <f t="shared" si="11"/>
        <v>2</v>
      </c>
      <c r="R61" s="4">
        <f t="shared" si="12"/>
        <v>0.011</v>
      </c>
      <c r="S61" s="4">
        <f t="shared" si="15"/>
        <v>0.989</v>
      </c>
      <c r="T61" s="4">
        <f t="shared" si="16"/>
        <v>179</v>
      </c>
      <c r="U61" s="24">
        <f t="shared" si="13"/>
        <v>0.001964285714</v>
      </c>
      <c r="V61" s="7">
        <f t="shared" si="14"/>
        <v>0.0097</v>
      </c>
    </row>
    <row r="62" ht="15.75" customHeight="1">
      <c r="J62" s="4">
        <v>9.0</v>
      </c>
      <c r="K62" s="4">
        <v>148.79999999999995</v>
      </c>
      <c r="L62" s="4">
        <v>154.39999999999995</v>
      </c>
      <c r="M62" s="4">
        <v>151.59999999999997</v>
      </c>
      <c r="N62" s="4">
        <v>1.0</v>
      </c>
      <c r="O62" s="4">
        <f t="shared" si="9"/>
        <v>3.14</v>
      </c>
      <c r="P62" s="4">
        <f t="shared" si="10"/>
        <v>0.002883534348</v>
      </c>
      <c r="Q62" s="4">
        <f t="shared" si="11"/>
        <v>0</v>
      </c>
      <c r="R62" s="4">
        <f t="shared" si="12"/>
        <v>0</v>
      </c>
      <c r="S62" s="4">
        <f t="shared" si="15"/>
        <v>1</v>
      </c>
      <c r="T62" s="4">
        <f t="shared" si="16"/>
        <v>179</v>
      </c>
      <c r="U62" s="24">
        <f t="shared" si="13"/>
        <v>0</v>
      </c>
      <c r="V62" s="7">
        <f t="shared" si="14"/>
        <v>0.0052</v>
      </c>
    </row>
    <row r="63" ht="15.75" customHeight="1">
      <c r="J63" s="4"/>
      <c r="K63" s="4"/>
      <c r="L63" s="4"/>
      <c r="M63" s="4"/>
      <c r="N63" s="4"/>
      <c r="O63" s="4"/>
      <c r="P63" s="4"/>
      <c r="Q63" s="4"/>
      <c r="R63" s="4"/>
      <c r="S63" s="4">
        <f t="shared" si="15"/>
        <v>1</v>
      </c>
      <c r="T63" s="4"/>
      <c r="V63" s="7">
        <f t="shared" si="14"/>
        <v>0</v>
      </c>
    </row>
    <row r="64" ht="15.75" customHeight="1">
      <c r="J64" s="4" t="s">
        <v>13</v>
      </c>
      <c r="K64" s="4"/>
      <c r="L64" s="4"/>
      <c r="M64" s="4"/>
      <c r="N64" s="4">
        <v>194.0</v>
      </c>
      <c r="O64" s="4"/>
      <c r="P64" s="4"/>
      <c r="Q64" s="4">
        <f>SUM(Q54:Q62)</f>
        <v>179</v>
      </c>
      <c r="R64" s="4"/>
      <c r="S64" s="4"/>
      <c r="T64" s="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J49:K49"/>
    <mergeCell ref="M49:N49"/>
    <mergeCell ref="D19:E19"/>
    <mergeCell ref="G19:H19"/>
    <mergeCell ref="J19:L19"/>
    <mergeCell ref="J20:L20"/>
    <mergeCell ref="J22:Q22"/>
    <mergeCell ref="J36:L36"/>
    <mergeCell ref="P39:Q39"/>
  </mergeCells>
  <drawing r:id="rId1"/>
</worksheet>
</file>